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owner\Downloads\"/>
    </mc:Choice>
  </mc:AlternateContent>
  <xr:revisionPtr revIDLastSave="0" documentId="13_ncr:1_{9D52A695-2EE6-4814-B8A1-D0B40FC20895}" xr6:coauthVersionLast="47" xr6:coauthVersionMax="47" xr10:uidLastSave="{00000000-0000-0000-0000-000000000000}"/>
  <bookViews>
    <workbookView xWindow="5595" yWindow="0" windowWidth="22095" windowHeight="15600" xr2:uid="{00000000-000D-0000-FFFF-FFFF00000000}"/>
  </bookViews>
  <sheets>
    <sheet name="Sheet1" sheetId="2" r:id="rId1"/>
    <sheet name="Sheet3" sheetId="5" r:id="rId2"/>
    <sheet name="Sheet2" sheetId="3" state="hidden" r:id="rId3"/>
  </sheets>
  <externalReferences>
    <externalReference r:id="rId4"/>
  </externalReferences>
  <definedNames>
    <definedName name="_xlnm._FilterDatabase" localSheetId="1" hidden="1">Sheet3!$A$2:$C$12</definedName>
    <definedName name="_xlnm.Print_Area" localSheetId="0">Sheet1!$A$1:$P$30</definedName>
    <definedName name="判定" localSheetId="1">INDIRECT([1]Sheet1!$L$23)</definedName>
    <definedName name="判定">INDIRECT(Sheet1!$L$24)</definedName>
    <definedName name="非表示">Sheet2!$B$2</definedName>
    <definedName name="表示">Sheet2!$A$2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7" i="2" l="1"/>
  <c r="J27" i="2"/>
  <c r="J28" i="2"/>
  <c r="A19" i="2"/>
  <c r="L24" i="2" l="1"/>
  <c r="B29" i="2" l="1"/>
  <c r="V24" i="2" l="1"/>
  <c r="W24" i="2" s="1"/>
  <c r="V10" i="2"/>
  <c r="W10" i="2" s="1"/>
  <c r="V18" i="2"/>
  <c r="V26" i="2"/>
  <c r="W26" i="2" s="1"/>
  <c r="V15" i="2"/>
  <c r="W15" i="2" s="1"/>
  <c r="V23" i="2"/>
  <c r="V9" i="2"/>
  <c r="W9" i="2" s="1"/>
  <c r="V3" i="2"/>
  <c r="W3" i="2" s="1"/>
  <c r="V4" i="2"/>
  <c r="W4" i="2" s="1"/>
  <c r="V17" i="2"/>
  <c r="W17" i="2" s="1"/>
  <c r="V6" i="2"/>
  <c r="V25" i="2"/>
  <c r="W25" i="2" s="1"/>
  <c r="V11" i="2"/>
  <c r="W11" i="2" s="1"/>
  <c r="V16" i="2"/>
  <c r="V5" i="2"/>
  <c r="V7" i="2"/>
  <c r="W7" i="2" s="1"/>
  <c r="V19" i="2"/>
  <c r="W19" i="2" s="1"/>
  <c r="V8" i="2"/>
  <c r="W8" i="2" s="1"/>
  <c r="B30" i="2"/>
  <c r="G14" i="2"/>
  <c r="X7" i="2" l="1" a="1"/>
  <c r="X7" i="2" s="1"/>
  <c r="Y7" i="2" s="1"/>
  <c r="AC7" i="2" s="1"/>
  <c r="Z7" i="2"/>
  <c r="Z9" i="2"/>
  <c r="X9" i="2" a="1"/>
  <c r="X9" i="2" s="1"/>
  <c r="Y9" i="2" s="1"/>
  <c r="AC9" i="2" s="1"/>
  <c r="Z11" i="2"/>
  <c r="X11" i="2" a="1"/>
  <c r="X11" i="2" s="1"/>
  <c r="Y11" i="2" s="1"/>
  <c r="AC11" i="2" s="1"/>
  <c r="X15" i="2" a="1"/>
  <c r="X15" i="2" s="1"/>
  <c r="Y15" i="2" s="1"/>
  <c r="AC15" i="2" s="1"/>
  <c r="Z15" i="2"/>
  <c r="Z26" i="2"/>
  <c r="X26" i="2" a="1"/>
  <c r="X26" i="2" s="1"/>
  <c r="Z3" i="2"/>
  <c r="X3" i="2" a="1"/>
  <c r="X3" i="2" s="1"/>
  <c r="Y3" i="2" s="1"/>
  <c r="AC3" i="2" s="1"/>
  <c r="Z25" i="2"/>
  <c r="X25" i="2" a="1"/>
  <c r="X25" i="2" s="1"/>
  <c r="X8" i="2" a="1"/>
  <c r="X8" i="2" s="1"/>
  <c r="Y8" i="2" s="1"/>
  <c r="AC8" i="2" s="1"/>
  <c r="Z8" i="2"/>
  <c r="Z17" i="2"/>
  <c r="X17" i="2" a="1"/>
  <c r="X17" i="2" s="1"/>
  <c r="Y17" i="2" s="1"/>
  <c r="Z10" i="2"/>
  <c r="X10" i="2" a="1"/>
  <c r="X10" i="2" s="1"/>
  <c r="X19" i="2" a="1"/>
  <c r="X19" i="2" s="1"/>
  <c r="Y19" i="2" s="1"/>
  <c r="AC19" i="2" s="1"/>
  <c r="Z19" i="2"/>
  <c r="Z4" i="2"/>
  <c r="X4" i="2" a="1"/>
  <c r="X4" i="2" s="1"/>
  <c r="Y4" i="2" s="1"/>
  <c r="Z24" i="2"/>
  <c r="X24" i="2" a="1"/>
  <c r="X24" i="2" s="1"/>
  <c r="W6" i="2"/>
  <c r="W5" i="2"/>
  <c r="W16" i="2"/>
  <c r="W23" i="2"/>
  <c r="W18" i="2"/>
  <c r="E8" i="2"/>
  <c r="AF4" i="2" l="1"/>
  <c r="AF17" i="2"/>
  <c r="AF3" i="2"/>
  <c r="AC4" i="2"/>
  <c r="AC17" i="2"/>
  <c r="AD11" i="2"/>
  <c r="AF19" i="2"/>
  <c r="AE19" i="2"/>
  <c r="AD19" i="2"/>
  <c r="AF9" i="2"/>
  <c r="AE9" i="2"/>
  <c r="AD9" i="2"/>
  <c r="AD15" i="2"/>
  <c r="AF15" i="2"/>
  <c r="AE15" i="2"/>
  <c r="AF8" i="2"/>
  <c r="AE8" i="2"/>
  <c r="AD8" i="2"/>
  <c r="AF7" i="2"/>
  <c r="AD7" i="2"/>
  <c r="AE7" i="2"/>
  <c r="AE17" i="2"/>
  <c r="AE4" i="2"/>
  <c r="Y26" i="2"/>
  <c r="AC26" i="2" s="1"/>
  <c r="AB26" i="2"/>
  <c r="AA26" i="2"/>
  <c r="AE11" i="2"/>
  <c r="AD17" i="2"/>
  <c r="Z18" i="2"/>
  <c r="X18" i="2" a="1"/>
  <c r="X18" i="2" s="1"/>
  <c r="Z6" i="2"/>
  <c r="X6" i="2" a="1"/>
  <c r="X6" i="2" s="1"/>
  <c r="AB19" i="2"/>
  <c r="AA19" i="2"/>
  <c r="AA9" i="2"/>
  <c r="AB9" i="2"/>
  <c r="AF11" i="2"/>
  <c r="AD3" i="2"/>
  <c r="X23" i="2" a="1"/>
  <c r="X23" i="2" s="1"/>
  <c r="Z23" i="2"/>
  <c r="AD4" i="2"/>
  <c r="Y24" i="2"/>
  <c r="AC24" i="2" s="1"/>
  <c r="AB24" i="2"/>
  <c r="AA24" i="2"/>
  <c r="AA10" i="2"/>
  <c r="AB10" i="2"/>
  <c r="AB8" i="2"/>
  <c r="AA8" i="2"/>
  <c r="AE3" i="2"/>
  <c r="Z16" i="2"/>
  <c r="X16" i="2" a="1"/>
  <c r="X16" i="2" s="1"/>
  <c r="Y16" i="2" s="1"/>
  <c r="Y25" i="2"/>
  <c r="AC25" i="2" s="1"/>
  <c r="AB25" i="2"/>
  <c r="AA25" i="2"/>
  <c r="Z5" i="2"/>
  <c r="X5" i="2" a="1"/>
  <c r="X5" i="2" s="1"/>
  <c r="AB4" i="2"/>
  <c r="AA4" i="2"/>
  <c r="Y10" i="2"/>
  <c r="AC10" i="2" s="1"/>
  <c r="AA15" i="2"/>
  <c r="AB15" i="2"/>
  <c r="AB17" i="2"/>
  <c r="AA17" i="2"/>
  <c r="AB3" i="2"/>
  <c r="AA3" i="2"/>
  <c r="AA11" i="2"/>
  <c r="AB11" i="2"/>
  <c r="AB7" i="2"/>
  <c r="AA7" i="2"/>
  <c r="AG8" i="2" l="1"/>
  <c r="AG19" i="2"/>
  <c r="AE16" i="2"/>
  <c r="AF16" i="2"/>
  <c r="AD16" i="2"/>
  <c r="AH8" i="2"/>
  <c r="AH19" i="2"/>
  <c r="AG3" i="2"/>
  <c r="AH17" i="2"/>
  <c r="AG11" i="2"/>
  <c r="AH7" i="2"/>
  <c r="AH9" i="2"/>
  <c r="AG9" i="2"/>
  <c r="AG7" i="2"/>
  <c r="AC16" i="2"/>
  <c r="AH3" i="2"/>
  <c r="AI3" i="2" s="1"/>
  <c r="AG4" i="2"/>
  <c r="AH11" i="2"/>
  <c r="AG17" i="2"/>
  <c r="AG15" i="2"/>
  <c r="AD10" i="2"/>
  <c r="AF10" i="2"/>
  <c r="AE10" i="2"/>
  <c r="AB6" i="2"/>
  <c r="AA6" i="2"/>
  <c r="AH15" i="2"/>
  <c r="AI15" i="2" s="1"/>
  <c r="Y23" i="2"/>
  <c r="AC23" i="2" s="1"/>
  <c r="AA23" i="2"/>
  <c r="AB23" i="2"/>
  <c r="AE25" i="2"/>
  <c r="AD25" i="2"/>
  <c r="AF25" i="2"/>
  <c r="AB16" i="2"/>
  <c r="AA16" i="2"/>
  <c r="Y6" i="2"/>
  <c r="AC6" i="2" s="1"/>
  <c r="AB5" i="2"/>
  <c r="AA5" i="2"/>
  <c r="AB18" i="2"/>
  <c r="AA18" i="2"/>
  <c r="AE26" i="2"/>
  <c r="AD26" i="2"/>
  <c r="AF26" i="2"/>
  <c r="AH4" i="2"/>
  <c r="Y5" i="2"/>
  <c r="AC5" i="2" s="1"/>
  <c r="AD24" i="2"/>
  <c r="AF24" i="2"/>
  <c r="AE24" i="2"/>
  <c r="Y18" i="2"/>
  <c r="AC18" i="2" s="1"/>
  <c r="AK3" i="2" l="1"/>
  <c r="AH16" i="2"/>
  <c r="AI16" i="2" s="1"/>
  <c r="AK16" i="2" s="1"/>
  <c r="AK15" i="2"/>
  <c r="AI4" i="2"/>
  <c r="AK4" i="2" s="1"/>
  <c r="AG16" i="2"/>
  <c r="AJ3" i="2"/>
  <c r="AG24" i="2"/>
  <c r="AG10" i="2"/>
  <c r="AH25" i="2"/>
  <c r="AD23" i="2"/>
  <c r="AE23" i="2"/>
  <c r="AF23" i="2"/>
  <c r="AJ15" i="2"/>
  <c r="AG26" i="2"/>
  <c r="AG25" i="2"/>
  <c r="AH26" i="2"/>
  <c r="AH24" i="2"/>
  <c r="AH10" i="2"/>
  <c r="AD6" i="2"/>
  <c r="AE6" i="2"/>
  <c r="AF6" i="2"/>
  <c r="AD18" i="2"/>
  <c r="AE18" i="2"/>
  <c r="AF18" i="2"/>
  <c r="AE5" i="2"/>
  <c r="AD5" i="2"/>
  <c r="AF5" i="2"/>
  <c r="AJ4" i="2" l="1"/>
  <c r="AG6" i="2"/>
  <c r="AH23" i="2"/>
  <c r="AI23" i="2" s="1"/>
  <c r="AG18" i="2"/>
  <c r="AL15" i="2" s="1"/>
  <c r="AM15" i="2" s="1"/>
  <c r="AN15" i="2" s="1"/>
  <c r="AH18" i="2"/>
  <c r="AH5" i="2"/>
  <c r="AI5" i="2" s="1"/>
  <c r="AH6" i="2"/>
  <c r="AI17" i="2"/>
  <c r="AJ16" i="2"/>
  <c r="AG5" i="2"/>
  <c r="AG23" i="2"/>
  <c r="AL16" i="2" l="1"/>
  <c r="AM16" i="2" s="1"/>
  <c r="AN16" i="2" s="1"/>
  <c r="AI6" i="2"/>
  <c r="AJ6" i="2" s="1"/>
  <c r="AK5" i="2"/>
  <c r="AI18" i="2"/>
  <c r="AK18" i="2" s="1"/>
  <c r="AK17" i="2"/>
  <c r="AL23" i="2"/>
  <c r="AJ23" i="2"/>
  <c r="AK23" i="2"/>
  <c r="AI24" i="2"/>
  <c r="AI25" i="2" s="1"/>
  <c r="AL3" i="2"/>
  <c r="AM3" i="2" s="1"/>
  <c r="AN3" i="2" s="1"/>
  <c r="AL4" i="2"/>
  <c r="AM4" i="2" s="1"/>
  <c r="AN4" i="2" s="1"/>
  <c r="AJ17" i="2"/>
  <c r="AJ5" i="2"/>
  <c r="AL17" i="2"/>
  <c r="AL5" i="2"/>
  <c r="AM5" i="2" l="1"/>
  <c r="AN5" i="2" s="1"/>
  <c r="AM17" i="2"/>
  <c r="AN17" i="2" s="1"/>
  <c r="AI19" i="2"/>
  <c r="AK19" i="2" s="1"/>
  <c r="AI7" i="2"/>
  <c r="AK7" i="2" s="1"/>
  <c r="AL6" i="2"/>
  <c r="AK6" i="2"/>
  <c r="AM6" i="2" s="1"/>
  <c r="AN6" i="2" s="1"/>
  <c r="AJ18" i="2"/>
  <c r="AL18" i="2"/>
  <c r="AM23" i="2"/>
  <c r="AN23" i="2" s="1"/>
  <c r="AL25" i="2"/>
  <c r="AK25" i="2"/>
  <c r="AJ25" i="2"/>
  <c r="AI26" i="2"/>
  <c r="AJ26" i="2" s="1"/>
  <c r="AL24" i="2"/>
  <c r="AK24" i="2"/>
  <c r="AJ24" i="2"/>
  <c r="AM25" i="2" l="1"/>
  <c r="AN25" i="2" s="1"/>
  <c r="AM18" i="2"/>
  <c r="AN18" i="2" s="1"/>
  <c r="AJ19" i="2"/>
  <c r="AL19" i="2"/>
  <c r="AJ7" i="2"/>
  <c r="AI8" i="2"/>
  <c r="AJ8" i="2" s="1"/>
  <c r="AL7" i="2"/>
  <c r="AM24" i="2"/>
  <c r="AN24" i="2" s="1"/>
  <c r="AL26" i="2"/>
  <c r="AK26" i="2"/>
  <c r="AM7" i="2" l="1"/>
  <c r="AN7" i="2" s="1"/>
  <c r="AM19" i="2"/>
  <c r="AN19" i="2" s="1"/>
  <c r="AM26" i="2"/>
  <c r="AN26" i="2" s="1"/>
  <c r="AK8" i="2"/>
  <c r="AI9" i="2"/>
  <c r="AK9" i="2" s="1"/>
  <c r="AL8" i="2"/>
  <c r="AM8" i="2" l="1"/>
  <c r="AN8" i="2" s="1"/>
  <c r="AI10" i="2"/>
  <c r="AK10" i="2" s="1"/>
  <c r="AJ9" i="2"/>
  <c r="AL9" i="2"/>
  <c r="AM9" i="2" l="1"/>
  <c r="AN9" i="2" s="1"/>
  <c r="AL10" i="2"/>
  <c r="AJ10" i="2"/>
  <c r="AI11" i="2"/>
  <c r="AK11" i="2" s="1"/>
  <c r="AM10" i="2" l="1"/>
  <c r="AN10" i="2" s="1"/>
  <c r="AJ11" i="2"/>
  <c r="AL11" i="2"/>
  <c r="AM11" i="2" l="1"/>
  <c r="AN11" i="2" l="1"/>
  <c r="J7" i="2"/>
  <c r="O7" i="2"/>
  <c r="L8" i="2"/>
  <c r="L7" i="2"/>
  <c r="J8" i="2"/>
  <c r="J12" i="2" l="1"/>
  <c r="L12" i="2"/>
  <c r="J10" i="2"/>
  <c r="J17" i="2"/>
  <c r="O17" i="2"/>
  <c r="L17" i="2"/>
  <c r="J13" i="2"/>
  <c r="O12" i="2"/>
  <c r="J15" i="2"/>
  <c r="L18" i="2"/>
  <c r="L13" i="2"/>
  <c r="J18" i="2"/>
  <c r="J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<sst xmlns="http://schemas.openxmlformats.org/spreadsheetml/2006/main" count="227" uniqueCount="134">
  <si>
    <t>㎥/h</t>
    <phoneticPr fontId="3"/>
  </si>
  <si>
    <t>台</t>
    <rPh sb="0" eb="1">
      <t>ダイ</t>
    </rPh>
    <phoneticPr fontId="3"/>
  </si>
  <si>
    <t>STEP１：電源の種類を選択してください</t>
    <rPh sb="6" eb="8">
      <t>デンゲン</t>
    </rPh>
    <rPh sb="9" eb="11">
      <t>シュルイ</t>
    </rPh>
    <rPh sb="12" eb="14">
      <t>センタク</t>
    </rPh>
    <phoneticPr fontId="3"/>
  </si>
  <si>
    <t>ARK</t>
  </si>
  <si>
    <t>嵐</t>
    <rPh sb="0" eb="1">
      <t>アラシ</t>
    </rPh>
    <phoneticPr fontId="6"/>
  </si>
  <si>
    <t>　</t>
    <phoneticPr fontId="3"/>
  </si>
  <si>
    <t>※あくまで参考です。今後、詳細な環境を伺う中でおすすめする内容が変化することがございます。</t>
    <rPh sb="5" eb="7">
      <t>サンコウ</t>
    </rPh>
    <rPh sb="10" eb="12">
      <t>コンゴ</t>
    </rPh>
    <rPh sb="13" eb="15">
      <t>ショウサイ</t>
    </rPh>
    <rPh sb="16" eb="18">
      <t>カンキョウ</t>
    </rPh>
    <rPh sb="19" eb="20">
      <t>ウカガ</t>
    </rPh>
    <rPh sb="21" eb="22">
      <t>ナカ</t>
    </rPh>
    <rPh sb="29" eb="31">
      <t>ナイヨウ</t>
    </rPh>
    <rPh sb="32" eb="34">
      <t>ヘンカ</t>
    </rPh>
    <phoneticPr fontId="3"/>
  </si>
  <si>
    <t>必要換気量</t>
    <rPh sb="0" eb="2">
      <t>ヒツヨウ</t>
    </rPh>
    <rPh sb="2" eb="4">
      <t>カンキ</t>
    </rPh>
    <rPh sb="4" eb="5">
      <t>リョウ</t>
    </rPh>
    <phoneticPr fontId="3"/>
  </si>
  <si>
    <t>合計吸気流量</t>
    <rPh sb="0" eb="6">
      <t>ゴウケイキュウキリュウリョウ</t>
    </rPh>
    <phoneticPr fontId="3"/>
  </si>
  <si>
    <t>おすすめ機種と台数</t>
    <rPh sb="4" eb="6">
      <t>キシュ</t>
    </rPh>
    <rPh sb="7" eb="9">
      <t>ダイスウ</t>
    </rPh>
    <phoneticPr fontId="3"/>
  </si>
  <si>
    <t>※”必要換気量”と、冷風機の”合計空気流量”が近づくような機種・台数を算出しています。</t>
    <rPh sb="2" eb="7">
      <t>ヒツヨウカンキリョウ</t>
    </rPh>
    <rPh sb="10" eb="13">
      <t>レイフウキ</t>
    </rPh>
    <rPh sb="15" eb="21">
      <t>ゴウケイクウキリュウリョウ</t>
    </rPh>
    <rPh sb="23" eb="24">
      <t>チカ</t>
    </rPh>
    <rPh sb="29" eb="31">
      <t>キシュ</t>
    </rPh>
    <rPh sb="32" eb="34">
      <t>ダイスウ</t>
    </rPh>
    <rPh sb="35" eb="37">
      <t>サンシュツ</t>
    </rPh>
    <phoneticPr fontId="3"/>
  </si>
  <si>
    <t>ぜひ一度お問い合わせください！</t>
    <phoneticPr fontId="3"/>
  </si>
  <si>
    <t>流量不足分</t>
    <rPh sb="0" eb="2">
      <t>リュウリョウ</t>
    </rPh>
    <rPh sb="2" eb="5">
      <t>フソクブン</t>
    </rPh>
    <phoneticPr fontId="3"/>
  </si>
  <si>
    <t>流量/台</t>
    <rPh sb="0" eb="2">
      <t>リュウリョウ</t>
    </rPh>
    <rPh sb="3" eb="4">
      <t>ダイ</t>
    </rPh>
    <phoneticPr fontId="3"/>
  </si>
  <si>
    <t>風神PRIDE</t>
    <phoneticPr fontId="3"/>
  </si>
  <si>
    <t>DTC300</t>
    <phoneticPr fontId="3"/>
  </si>
  <si>
    <t>DTC260</t>
    <phoneticPr fontId="3"/>
  </si>
  <si>
    <t>DTC220</t>
    <phoneticPr fontId="3"/>
  </si>
  <si>
    <t>疾風</t>
    <phoneticPr fontId="3"/>
  </si>
  <si>
    <t>雷神</t>
    <phoneticPr fontId="3"/>
  </si>
  <si>
    <t>合計空気流量</t>
    <rPh sb="0" eb="2">
      <t>ゴウケイ</t>
    </rPh>
    <rPh sb="2" eb="6">
      <t>クウキリュウリョウ</t>
    </rPh>
    <phoneticPr fontId="3"/>
  </si>
  <si>
    <t>台数
※小数点以下切捨</t>
    <rPh sb="4" eb="9">
      <t>ショウスウテンイカ</t>
    </rPh>
    <rPh sb="9" eb="10">
      <t>キ</t>
    </rPh>
    <rPh sb="10" eb="11">
      <t>ス</t>
    </rPh>
    <phoneticPr fontId="3"/>
  </si>
  <si>
    <t>不足分を超える
製品の１台流量</t>
    <rPh sb="0" eb="3">
      <t>フソクブン</t>
    </rPh>
    <rPh sb="4" eb="5">
      <t>コ</t>
    </rPh>
    <rPh sb="8" eb="10">
      <t>セイヒン</t>
    </rPh>
    <rPh sb="12" eb="13">
      <t>ダイ</t>
    </rPh>
    <rPh sb="13" eb="15">
      <t>リュウリョウ</t>
    </rPh>
    <phoneticPr fontId="3"/>
  </si>
  <si>
    <t>左の機種名</t>
    <rPh sb="0" eb="1">
      <t>ヒダリ</t>
    </rPh>
    <rPh sb="2" eb="5">
      <t>キシュメイ</t>
    </rPh>
    <phoneticPr fontId="3"/>
  </si>
  <si>
    <t>合計台数</t>
    <rPh sb="0" eb="4">
      <t>ゴウケイダイスウ</t>
    </rPh>
    <phoneticPr fontId="3"/>
  </si>
  <si>
    <t>優先①台数小さい順
順位</t>
    <rPh sb="0" eb="2">
      <t>ユウセン</t>
    </rPh>
    <rPh sb="3" eb="6">
      <t>ダイスウチイ</t>
    </rPh>
    <rPh sb="8" eb="9">
      <t>ジュン</t>
    </rPh>
    <rPh sb="10" eb="12">
      <t>ジュンイ</t>
    </rPh>
    <phoneticPr fontId="3"/>
  </si>
  <si>
    <t>優先①価格小さい順
順位</t>
    <rPh sb="0" eb="2">
      <t>ユウセン</t>
    </rPh>
    <rPh sb="3" eb="5">
      <t>カカク</t>
    </rPh>
    <rPh sb="5" eb="6">
      <t>チイ</t>
    </rPh>
    <rPh sb="8" eb="9">
      <t>ジュン</t>
    </rPh>
    <phoneticPr fontId="3"/>
  </si>
  <si>
    <t>おすすめ順
順位</t>
    <rPh sb="4" eb="5">
      <t>ジュン</t>
    </rPh>
    <rPh sb="6" eb="8">
      <t>ジュンイ</t>
    </rPh>
    <phoneticPr fontId="3"/>
  </si>
  <si>
    <t>V,W,X,Y文字列</t>
    <rPh sb="7" eb="10">
      <t>モジレツ</t>
    </rPh>
    <phoneticPr fontId="3"/>
  </si>
  <si>
    <t>AA被り排除</t>
    <rPh sb="2" eb="3">
      <t>カブ</t>
    </rPh>
    <rPh sb="4" eb="6">
      <t>ハイジョ</t>
    </rPh>
    <phoneticPr fontId="3"/>
  </si>
  <si>
    <t>計算結果一覧</t>
    <rPh sb="0" eb="2">
      <t>ケイサン</t>
    </rPh>
    <rPh sb="2" eb="4">
      <t>ケッカ</t>
    </rPh>
    <rPh sb="4" eb="6">
      <t>イチラン</t>
    </rPh>
    <phoneticPr fontId="3"/>
  </si>
  <si>
    <t>アース参考価格※変わったらここを手入力</t>
    <rPh sb="3" eb="5">
      <t>サンコウ</t>
    </rPh>
    <rPh sb="5" eb="7">
      <t>カカク</t>
    </rPh>
    <rPh sb="8" eb="9">
      <t>カ</t>
    </rPh>
    <rPh sb="16" eb="17">
      <t>テ</t>
    </rPh>
    <rPh sb="17" eb="19">
      <t>ニュウリョク</t>
    </rPh>
    <phoneticPr fontId="3"/>
  </si>
  <si>
    <t>AF列
空白判定</t>
    <rPh sb="2" eb="3">
      <t>レツ</t>
    </rPh>
    <rPh sb="4" eb="6">
      <t>クウハク</t>
    </rPh>
    <rPh sb="6" eb="8">
      <t>ハンテイ</t>
    </rPh>
    <phoneticPr fontId="3"/>
  </si>
  <si>
    <t>表示</t>
    <rPh sb="0" eb="2">
      <t>ヒョウジ</t>
    </rPh>
    <phoneticPr fontId="3"/>
  </si>
  <si>
    <t>非表示</t>
    <rPh sb="0" eb="3">
      <t>ヒヒョウジ</t>
    </rPh>
    <phoneticPr fontId="3"/>
  </si>
  <si>
    <t>STEP5：ご希望されるものを選択してください。</t>
    <rPh sb="7" eb="9">
      <t>キボウ</t>
    </rPh>
    <rPh sb="15" eb="17">
      <t>センタク</t>
    </rPh>
    <phoneticPr fontId="3"/>
  </si>
  <si>
    <t>計算上のご提案</t>
    <phoneticPr fontId="3"/>
  </si>
  <si>
    <t>になります。</t>
    <phoneticPr fontId="3"/>
  </si>
  <si>
    <t>STEP2：設置予定の建物について、建物(部屋)全体の環境改善をしたいですか？</t>
    <phoneticPr fontId="3"/>
  </si>
  <si>
    <t>　　　　作業員様がいる場所など一部の環境改善をしたいですか？</t>
    <phoneticPr fontId="3"/>
  </si>
  <si>
    <t>奥行(D)</t>
    <phoneticPr fontId="3"/>
  </si>
  <si>
    <t>幅(W)</t>
    <phoneticPr fontId="3"/>
  </si>
  <si>
    <t>高さ(H)</t>
    <phoneticPr fontId="3"/>
  </si>
  <si>
    <t>m</t>
    <phoneticPr fontId="3"/>
  </si>
  <si>
    <t>℃</t>
    <phoneticPr fontId="3"/>
  </si>
  <si>
    <t>通常時室内温度</t>
    <phoneticPr fontId="3"/>
  </si>
  <si>
    <t>STEP4：通常時の室内温度を入力してください。</t>
    <phoneticPr fontId="3"/>
  </si>
  <si>
    <t xml:space="preserve">本シートはあくまで </t>
    <phoneticPr fontId="3"/>
  </si>
  <si>
    <t xml:space="preserve"> もっとコストを抑える方法</t>
    <phoneticPr fontId="3"/>
  </si>
  <si>
    <t>をご提案できる可能性もありますので</t>
    <phoneticPr fontId="3"/>
  </si>
  <si>
    <t>info@earthblower.com</t>
  </si>
  <si>
    <t>100V・200V両方</t>
    <rPh sb="9" eb="11">
      <t>リョウホウ</t>
    </rPh>
    <phoneticPr fontId="3"/>
  </si>
  <si>
    <t>MION</t>
    <phoneticPr fontId="6"/>
  </si>
  <si>
    <t>200V</t>
    <phoneticPr fontId="3"/>
  </si>
  <si>
    <t>100V</t>
    <phoneticPr fontId="3"/>
  </si>
  <si>
    <t>STEP1~4について　　　　　　　を入力いただくと</t>
    <phoneticPr fontId="3"/>
  </si>
  <si>
    <t>おすすめの機種・台数を算出します。</t>
    <phoneticPr fontId="3"/>
  </si>
  <si>
    <t>シリーズ</t>
    <phoneticPr fontId="3"/>
  </si>
  <si>
    <t>製品写真</t>
    <rPh sb="0" eb="2">
      <t>セイヒン</t>
    </rPh>
    <rPh sb="2" eb="4">
      <t>シャシン</t>
    </rPh>
    <phoneticPr fontId="3"/>
  </si>
  <si>
    <t>製品名</t>
    <rPh sb="0" eb="2">
      <t>セイヒン</t>
    </rPh>
    <rPh sb="2" eb="3">
      <t>メイ</t>
    </rPh>
    <phoneticPr fontId="3"/>
  </si>
  <si>
    <t>型式</t>
    <rPh sb="0" eb="2">
      <t>カタシキ</t>
    </rPh>
    <phoneticPr fontId="3"/>
  </si>
  <si>
    <t>電圧</t>
    <rPh sb="0" eb="2">
      <t>デンアツ</t>
    </rPh>
    <phoneticPr fontId="3"/>
  </si>
  <si>
    <t>消費電力</t>
    <rPh sb="0" eb="2">
      <t>ショウヒ</t>
    </rPh>
    <rPh sb="2" eb="4">
      <t>デンリョク</t>
    </rPh>
    <phoneticPr fontId="3"/>
  </si>
  <si>
    <t>電流</t>
    <rPh sb="0" eb="2">
      <t>デンリュウ</t>
    </rPh>
    <phoneticPr fontId="3"/>
  </si>
  <si>
    <t>本体サイズ(ｍm)</t>
    <rPh sb="0" eb="2">
      <t>ホンタイ</t>
    </rPh>
    <phoneticPr fontId="3"/>
  </si>
  <si>
    <t>タンク
容量</t>
    <rPh sb="4" eb="6">
      <t>ヨウリョウ</t>
    </rPh>
    <phoneticPr fontId="3"/>
  </si>
  <si>
    <t>風量調節
(段階)</t>
    <phoneticPr fontId="3"/>
  </si>
  <si>
    <t>風量
(㎥/h)</t>
    <rPh sb="0" eb="2">
      <t>フウリョウ</t>
    </rPh>
    <phoneticPr fontId="3"/>
  </si>
  <si>
    <t>風速
(m/s)</t>
    <rPh sb="0" eb="2">
      <t>フウソク</t>
    </rPh>
    <phoneticPr fontId="3"/>
  </si>
  <si>
    <t>騒音値
(db)</t>
    <rPh sb="0" eb="2">
      <t>ソウオン</t>
    </rPh>
    <rPh sb="2" eb="3">
      <t>チ</t>
    </rPh>
    <phoneticPr fontId="3"/>
  </si>
  <si>
    <t>ブレード(羽)数</t>
    <rPh sb="5" eb="6">
      <t>ハネ</t>
    </rPh>
    <rPh sb="7" eb="8">
      <t>スウ</t>
    </rPh>
    <phoneticPr fontId="3"/>
  </si>
  <si>
    <t>H</t>
  </si>
  <si>
    <t>W</t>
  </si>
  <si>
    <t>D</t>
  </si>
  <si>
    <t>ダクトシリーズ</t>
    <phoneticPr fontId="3"/>
  </si>
  <si>
    <t>EA-DTC300D1</t>
  </si>
  <si>
    <t>三相200V</t>
    <rPh sb="0" eb="2">
      <t>サンソウ</t>
    </rPh>
    <phoneticPr fontId="2"/>
  </si>
  <si>
    <t>3000W</t>
    <phoneticPr fontId="3"/>
  </si>
  <si>
    <t>15A</t>
    <phoneticPr fontId="3"/>
  </si>
  <si>
    <t>40L</t>
    <phoneticPr fontId="3"/>
  </si>
  <si>
    <t>EA-DTC260D2</t>
  </si>
  <si>
    <t>1500W</t>
    <phoneticPr fontId="3"/>
  </si>
  <si>
    <t>6A</t>
  </si>
  <si>
    <t>190L</t>
    <phoneticPr fontId="3"/>
  </si>
  <si>
    <t>EA-DTC220D2</t>
  </si>
  <si>
    <t>20L</t>
    <phoneticPr fontId="3"/>
  </si>
  <si>
    <t>神風シリーズ</t>
    <rPh sb="0" eb="2">
      <t>カミカゼ</t>
    </rPh>
    <phoneticPr fontId="3"/>
  </si>
  <si>
    <t>風神PRIDE</t>
    <rPh sb="0" eb="2">
      <t>フウジン</t>
    </rPh>
    <phoneticPr fontId="2"/>
  </si>
  <si>
    <t>EA-MS100EC-PRIDE</t>
    <phoneticPr fontId="3"/>
  </si>
  <si>
    <t>1800W</t>
    <phoneticPr fontId="3"/>
  </si>
  <si>
    <t>6A</t>
    <phoneticPr fontId="3"/>
  </si>
  <si>
    <t>265L</t>
    <phoneticPr fontId="3"/>
  </si>
  <si>
    <t>新・疾風(はやて)</t>
    <rPh sb="0" eb="1">
      <t>シン</t>
    </rPh>
    <rPh sb="2" eb="4">
      <t>シップウ</t>
    </rPh>
    <phoneticPr fontId="2"/>
  </si>
  <si>
    <t>EA-JA86EC</t>
    <phoneticPr fontId="3"/>
  </si>
  <si>
    <t>1100W</t>
    <phoneticPr fontId="3"/>
  </si>
  <si>
    <t>3A</t>
    <phoneticPr fontId="3"/>
  </si>
  <si>
    <t>215L</t>
    <phoneticPr fontId="3"/>
  </si>
  <si>
    <t>雷神</t>
    <rPh sb="0" eb="2">
      <t>ライジン</t>
    </rPh>
    <phoneticPr fontId="2"/>
  </si>
  <si>
    <t>EA-AP100HT1</t>
  </si>
  <si>
    <t>単相100V</t>
  </si>
  <si>
    <t>1050W</t>
    <phoneticPr fontId="3"/>
  </si>
  <si>
    <t>9.5A</t>
  </si>
  <si>
    <t>230L</t>
    <phoneticPr fontId="3"/>
  </si>
  <si>
    <t>嵐</t>
    <rPh sb="0" eb="1">
      <t>アラシ</t>
    </rPh>
    <phoneticPr fontId="2"/>
  </si>
  <si>
    <t>EA-JV86LG</t>
  </si>
  <si>
    <t>750W</t>
    <phoneticPr fontId="3"/>
  </si>
  <si>
    <t>8A</t>
  </si>
  <si>
    <t>189L</t>
    <phoneticPr fontId="3"/>
  </si>
  <si>
    <t>エバポルシリーズ</t>
    <phoneticPr fontId="3"/>
  </si>
  <si>
    <t>ARK（黒・白）</t>
    <rPh sb="4" eb="5">
      <t>クロ</t>
    </rPh>
    <rPh sb="6" eb="7">
      <t>シロ</t>
    </rPh>
    <phoneticPr fontId="2"/>
  </si>
  <si>
    <t>EA-EVA75B／W</t>
    <phoneticPr fontId="3"/>
  </si>
  <si>
    <t>7A</t>
    <phoneticPr fontId="3"/>
  </si>
  <si>
    <t>120L</t>
    <phoneticPr fontId="3"/>
  </si>
  <si>
    <t>MION（黒）</t>
    <rPh sb="5" eb="6">
      <t>クロ</t>
    </rPh>
    <phoneticPr fontId="3"/>
  </si>
  <si>
    <t>EA-EVA65B</t>
    <phoneticPr fontId="3"/>
  </si>
  <si>
    <t>650W</t>
    <phoneticPr fontId="3"/>
  </si>
  <si>
    <t>5A</t>
    <phoneticPr fontId="3"/>
  </si>
  <si>
    <t>60L</t>
    <phoneticPr fontId="3"/>
  </si>
  <si>
    <t>※DTC300はタンク容量が少ないため、常時水道を接続してご使用ください。</t>
  </si>
  <si>
    <t>※騒音値は風量段階MAXのときの数値です。</t>
    <rPh sb="1" eb="3">
      <t>ソウオン</t>
    </rPh>
    <rPh sb="3" eb="4">
      <t>チ</t>
    </rPh>
    <rPh sb="5" eb="7">
      <t>フウリョウ</t>
    </rPh>
    <rPh sb="7" eb="9">
      <t>ダンカイ</t>
    </rPh>
    <rPh sb="16" eb="18">
      <t>スウチ</t>
    </rPh>
    <phoneticPr fontId="3"/>
  </si>
  <si>
    <t>（複数選択可）</t>
    <rPh sb="1" eb="6">
      <t>フクスウセンタクカ</t>
    </rPh>
    <phoneticPr fontId="3"/>
  </si>
  <si>
    <t>優先①流量大きい順
順位</t>
    <rPh sb="0" eb="2">
      <t>ユウセン</t>
    </rPh>
    <rPh sb="3" eb="5">
      <t>リュウリョウ</t>
    </rPh>
    <rPh sb="5" eb="6">
      <t>オオ</t>
    </rPh>
    <rPh sb="8" eb="9">
      <t>ジュン</t>
    </rPh>
    <phoneticPr fontId="3"/>
  </si>
  <si>
    <t>▶おすすめ算出シートへ戻る</t>
    <rPh sb="5" eb="7">
      <t>サンシュツ</t>
    </rPh>
    <rPh sb="11" eb="12">
      <t>モド</t>
    </rPh>
    <phoneticPr fontId="3"/>
  </si>
  <si>
    <t>0480-31-6788</t>
  </si>
  <si>
    <t>お問い合わせはこちら！</t>
    <rPh sb="1" eb="2">
      <t>ト</t>
    </rPh>
    <rPh sb="3" eb="4">
      <t>ア</t>
    </rPh>
    <phoneticPr fontId="3"/>
  </si>
  <si>
    <t>　単相100V</t>
    <rPh sb="1" eb="3">
      <t>タンソウ</t>
    </rPh>
    <phoneticPr fontId="3"/>
  </si>
  <si>
    <t>　三相200V</t>
    <rPh sb="1" eb="3">
      <t>サンソウ</t>
    </rPh>
    <phoneticPr fontId="3"/>
  </si>
  <si>
    <t>　単相100V・三相200Vどちらも使用可能</t>
    <rPh sb="1" eb="3">
      <t>タンソウ</t>
    </rPh>
    <rPh sb="8" eb="10">
      <t>サンソウ</t>
    </rPh>
    <rPh sb="18" eb="22">
      <t>シヨウカノウ</t>
    </rPh>
    <phoneticPr fontId="3"/>
  </si>
  <si>
    <t>　建物(部屋)全体の環境改善をしたい</t>
    <phoneticPr fontId="3"/>
  </si>
  <si>
    <t>　まずは弊社にお問い合わせ</t>
    <rPh sb="4" eb="6">
      <t>ヘイシャ</t>
    </rPh>
    <phoneticPr fontId="3"/>
  </si>
  <si>
    <t>　見積がほしい(販売店紹介)</t>
    <rPh sb="8" eb="11">
      <t>ハンバイテン</t>
    </rPh>
    <rPh sb="11" eb="13">
      <t>ショウカイ</t>
    </rPh>
    <phoneticPr fontId="3"/>
  </si>
  <si>
    <t>　製品のスペックが知りたい</t>
    <rPh sb="1" eb="3">
      <t>セイヒン</t>
    </rPh>
    <rPh sb="9" eb="10">
      <t>シ</t>
    </rPh>
    <phoneticPr fontId="3"/>
  </si>
  <si>
    <t>　一部の環境改善をしたい</t>
    <phoneticPr fontId="3"/>
  </si>
  <si>
    <t>■製品スペック比較表に飛ぶ■</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</si>
</sst>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quot;¥&quot;#,##0\)"/>
    <numFmt numFmtId="177" formatCode="#,##0_);[Red]\(#,##0\)"/>
    <numFmt numFmtId="178" formatCode="0_);[Red]\(0\)"/>
    <numFmt numFmtId="179" formatCode="#,##0_ "/>
  </numFmts>
  <fonts count="41">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b/>
      <sz val="16"/>
      <color theme="1"/>
      <name val="Yu Gothic"/>
      <family val="3"/>
      <charset val="128"/>
      <scheme val="minor"/>
    </font>
    <font>
      <sz val="11"/>
      <color theme="1"/>
      <name val="Yu Gothic"/>
      <family val="3"/>
      <charset val="128"/>
      <scheme val="minor"/>
    </font>
    <font>
      <sz val="11"/>
      <color rgb="FFFF0000"/>
      <name val="Yu Gothic"/>
      <family val="2"/>
      <scheme val="minor"/>
    </font>
    <font>
      <b/>
      <sz val="11"/>
      <color rgb="FFFF0000"/>
      <name val="Yu Gothic"/>
      <family val="3"/>
      <charset val="128"/>
      <scheme val="minor"/>
    </font>
    <font>
      <b/>
      <sz val="16"/>
      <color theme="0"/>
      <name val="Yu Gothic"/>
      <family val="3"/>
      <charset val="128"/>
      <scheme val="minor"/>
    </font>
    <font>
      <sz val="11"/>
      <color theme="0"/>
      <name val="Yu Gothic"/>
      <family val="3"/>
      <charset val="128"/>
      <scheme val="minor"/>
    </font>
    <font>
      <sz val="11"/>
      <name val="HG丸ｺﾞｼｯｸM-PRO"/>
      <family val="3"/>
      <charset val="128"/>
    </font>
    <font>
      <sz val="11"/>
      <name val="Yu Gothic"/>
      <family val="3"/>
      <charset val="128"/>
      <scheme val="minor"/>
    </font>
    <font>
      <b/>
      <sz val="14"/>
      <color theme="1"/>
      <name val="Yu Gothic"/>
      <family val="3"/>
      <charset val="128"/>
      <scheme val="minor"/>
    </font>
    <font>
      <sz val="12"/>
      <color theme="1"/>
      <name val="Yu Gothic"/>
      <family val="2"/>
      <scheme val="minor"/>
    </font>
    <font>
      <sz val="12"/>
      <color theme="1"/>
      <name val="Yu Gothic"/>
      <family val="3"/>
      <charset val="128"/>
      <scheme val="minor"/>
    </font>
    <font>
      <sz val="14"/>
      <color theme="1"/>
      <name val="Yu Gothic"/>
      <family val="3"/>
      <charset val="128"/>
      <scheme val="minor"/>
    </font>
    <font>
      <sz val="14"/>
      <color theme="1"/>
      <name val="Yu Gothic"/>
      <family val="2"/>
      <scheme val="minor"/>
    </font>
    <font>
      <b/>
      <sz val="12"/>
      <name val="Yu Gothic"/>
      <family val="3"/>
      <charset val="128"/>
      <scheme val="minor"/>
    </font>
    <font>
      <sz val="8"/>
      <color theme="1"/>
      <name val="Yu Gothic"/>
      <family val="2"/>
      <scheme val="minor"/>
    </font>
    <font>
      <u/>
      <sz val="11"/>
      <color theme="10"/>
      <name val="Yu Gothic"/>
      <family val="2"/>
      <scheme val="minor"/>
    </font>
    <font>
      <b/>
      <sz val="17"/>
      <name val="BIZ UDPゴシック"/>
      <family val="3"/>
      <charset val="128"/>
    </font>
    <font>
      <b/>
      <sz val="18"/>
      <color rgb="FFFF0000"/>
      <name val="BIZ UDPゴシック"/>
      <family val="3"/>
      <charset val="128"/>
    </font>
    <font>
      <b/>
      <sz val="17"/>
      <color rgb="FF0909FF"/>
      <name val="BIZ UDPゴシック"/>
      <family val="3"/>
      <charset val="128"/>
    </font>
    <font>
      <b/>
      <sz val="18"/>
      <name val="Yu Gothic"/>
      <family val="3"/>
      <charset val="128"/>
      <scheme val="minor"/>
    </font>
    <font>
      <b/>
      <u/>
      <sz val="18"/>
      <color theme="10"/>
      <name val="Yu Gothic"/>
      <family val="3"/>
      <charset val="128"/>
      <scheme val="minor"/>
    </font>
    <font>
      <sz val="16"/>
      <color theme="1"/>
      <name val="Yu Gothic"/>
      <family val="3"/>
      <charset val="128"/>
      <scheme val="minor"/>
    </font>
    <font>
      <b/>
      <sz val="11"/>
      <color theme="1"/>
      <name val="Yu Gothic"/>
      <family val="3"/>
      <charset val="128"/>
      <scheme val="minor"/>
    </font>
    <font>
      <sz val="10"/>
      <color theme="1"/>
      <name val="Yu Gothic"/>
      <family val="2"/>
      <scheme val="minor"/>
    </font>
    <font>
      <sz val="9"/>
      <color theme="1"/>
      <name val="Yu Gothic"/>
      <family val="3"/>
      <charset val="128"/>
      <scheme val="minor"/>
    </font>
    <font>
      <b/>
      <sz val="12"/>
      <color rgb="FFFF0000"/>
      <name val="Yu Gothic"/>
      <family val="3"/>
      <charset val="128"/>
      <scheme val="minor"/>
    </font>
    <font>
      <b/>
      <sz val="18"/>
      <color theme="1"/>
      <name val="Yu Gothic"/>
      <family val="3"/>
      <charset val="128"/>
      <scheme val="minor"/>
    </font>
    <font>
      <sz val="9"/>
      <color theme="1"/>
      <name val="Yu Gothic"/>
      <family val="2"/>
      <scheme val="minor"/>
    </font>
    <font>
      <b/>
      <sz val="16"/>
      <color rgb="FFFF0000"/>
      <name val="Yu Gothic"/>
      <family val="3"/>
      <charset val="128"/>
      <scheme val="minor"/>
    </font>
    <font>
      <b/>
      <sz val="28"/>
      <color rgb="FF20BA7C"/>
      <name val="HG丸ｺﾞｼｯｸM-PRO"/>
      <family val="3"/>
      <charset val="128"/>
    </font>
    <font>
      <sz val="11"/>
      <color rgb="FFFF0000"/>
      <name val="Yu Gothic"/>
      <family val="3"/>
      <charset val="128"/>
      <scheme val="minor"/>
    </font>
    <font>
      <b/>
      <sz val="14"/>
      <name val="Yu Gothic"/>
      <family val="3"/>
      <charset val="128"/>
      <scheme val="minor"/>
    </font>
    <font>
      <b/>
      <u/>
      <sz val="22"/>
      <color theme="10"/>
      <name val="Yu Gothic"/>
      <family val="3"/>
      <charset val="128"/>
      <scheme val="minor"/>
    </font>
    <font>
      <b/>
      <sz val="19"/>
      <color rgb="FFF77237"/>
      <name val="BIZ UDPゴシック"/>
      <family val="3"/>
      <charset val="128"/>
    </font>
    <font>
      <b/>
      <sz val="18"/>
      <color rgb="FF1BA53F"/>
      <name val="HG丸ｺﾞｼｯｸM-PRO"/>
      <family val="3"/>
      <charset val="128"/>
    </font>
    <font>
      <b/>
      <sz val="24"/>
      <color theme="1" tint="0.34998626667073579"/>
      <name val="Yu Gothic"/>
      <family val="3"/>
      <charset val="128"/>
      <scheme val="minor"/>
    </font>
    <font>
      <sz val="13"/>
      <name val="Yu Gothic"/>
      <family val="3"/>
      <charset val="128"/>
      <scheme val="minor"/>
    </font>
  </fonts>
  <fills count="10">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8"/>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D4F7FC"/>
        <bgColor indexed="64"/>
      </patternFill>
    </fill>
    <fill>
      <patternFill patternType="solid">
        <fgColor rgb="FFFFE0D9"/>
        <bgColor indexed="64"/>
      </patternFill>
    </fill>
    <fill>
      <patternFill patternType="solid">
        <fgColor rgb="FFD2FEC6"/>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indexed="64"/>
      </top>
      <bottom/>
      <diagonal/>
    </border>
    <border>
      <left style="thick">
        <color rgb="FFFF0000"/>
      </left>
      <right style="thick">
        <color rgb="FFFF0000"/>
      </right>
      <top style="thick">
        <color rgb="FFFF0000"/>
      </top>
      <bottom style="thick">
        <color rgb="FFFF0000"/>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diagonal/>
    </border>
    <border>
      <left/>
      <right/>
      <top style="medium">
        <color theme="1"/>
      </top>
      <bottom/>
      <diagonal/>
    </border>
    <border>
      <left style="medium">
        <color theme="1"/>
      </left>
      <right/>
      <top style="medium">
        <color theme="1"/>
      </top>
      <bottom/>
      <diagonal/>
    </border>
    <border>
      <left style="medium">
        <color indexed="64"/>
      </left>
      <right style="medium">
        <color indexed="64"/>
      </right>
      <top style="medium">
        <color indexed="64"/>
      </top>
      <bottom/>
      <diagonal/>
    </border>
    <border>
      <left/>
      <right style="medium">
        <color theme="1"/>
      </right>
      <top style="medium">
        <color theme="1"/>
      </top>
      <bottom/>
      <diagonal/>
    </border>
    <border>
      <left style="medium">
        <color theme="1"/>
      </left>
      <right style="medium">
        <color theme="1"/>
      </right>
      <top/>
      <bottom style="medium">
        <color theme="1"/>
      </bottom>
      <diagonal/>
    </border>
    <border>
      <left/>
      <right/>
      <top/>
      <bottom style="medium">
        <color theme="1"/>
      </bottom>
      <diagonal/>
    </border>
    <border>
      <left style="medium">
        <color theme="1"/>
      </left>
      <right/>
      <top/>
      <bottom style="medium">
        <color theme="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theme="1"/>
      </right>
      <top/>
      <bottom style="medium">
        <color theme="1"/>
      </bottom>
      <diagonal/>
    </border>
    <border>
      <left style="medium">
        <color theme="1"/>
      </left>
      <right/>
      <top/>
      <bottom style="thin">
        <color indexed="64"/>
      </bottom>
      <diagonal/>
    </border>
    <border>
      <left style="medium">
        <color theme="1"/>
      </left>
      <right style="medium">
        <color theme="1"/>
      </right>
      <top style="medium">
        <color theme="1"/>
      </top>
      <bottom style="thin">
        <color indexed="64"/>
      </bottom>
      <diagonal/>
    </border>
    <border>
      <left/>
      <right/>
      <top/>
      <bottom style="thin">
        <color indexed="64"/>
      </bottom>
      <diagonal/>
    </border>
    <border>
      <left style="medium">
        <color theme="1"/>
      </left>
      <right style="medium">
        <color theme="1"/>
      </right>
      <top/>
      <bottom style="thin">
        <color indexed="64"/>
      </bottom>
      <diagonal/>
    </border>
    <border>
      <left style="thin">
        <color indexed="64"/>
      </left>
      <right style="thin">
        <color indexed="64"/>
      </right>
      <top/>
      <bottom style="thin">
        <color indexed="64"/>
      </bottom>
      <diagonal/>
    </border>
    <border>
      <left/>
      <right style="medium">
        <color theme="1"/>
      </right>
      <top/>
      <bottom style="thin">
        <color indexed="64"/>
      </bottom>
      <diagonal/>
    </border>
    <border>
      <left style="medium">
        <color theme="1"/>
      </left>
      <right/>
      <top style="thin">
        <color indexed="64"/>
      </top>
      <bottom style="thin">
        <color indexed="64"/>
      </bottom>
      <diagonal/>
    </border>
    <border>
      <left style="medium">
        <color theme="1"/>
      </left>
      <right style="medium">
        <color theme="1"/>
      </right>
      <top style="thin">
        <color indexed="64"/>
      </top>
      <bottom style="thin">
        <color indexed="64"/>
      </bottom>
      <diagonal/>
    </border>
    <border>
      <left/>
      <right/>
      <top style="thin">
        <color indexed="64"/>
      </top>
      <bottom style="thin">
        <color indexed="64"/>
      </bottom>
      <diagonal/>
    </border>
    <border>
      <left/>
      <right style="medium">
        <color theme="1"/>
      </right>
      <top style="thin">
        <color indexed="64"/>
      </top>
      <bottom style="thin">
        <color indexed="64"/>
      </bottom>
      <diagonal/>
    </border>
    <border>
      <left style="medium">
        <color theme="1"/>
      </left>
      <right/>
      <top style="thin">
        <color indexed="64"/>
      </top>
      <bottom/>
      <diagonal/>
    </border>
    <border>
      <left style="medium">
        <color theme="1"/>
      </left>
      <right style="medium">
        <color theme="1"/>
      </right>
      <top style="thin">
        <color indexed="64"/>
      </top>
      <bottom/>
      <diagonal/>
    </border>
    <border>
      <left style="thin">
        <color indexed="64"/>
      </left>
      <right style="thin">
        <color indexed="64"/>
      </right>
      <top style="thin">
        <color indexed="64"/>
      </top>
      <bottom/>
      <diagonal/>
    </border>
    <border>
      <left/>
      <right style="medium">
        <color theme="1"/>
      </right>
      <top style="thin">
        <color indexed="64"/>
      </top>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style="medium">
        <color indexed="64"/>
      </top>
      <bottom style="thin">
        <color theme="1"/>
      </bottom>
      <diagonal/>
    </border>
    <border>
      <left style="medium">
        <color theme="1"/>
      </left>
      <right style="medium">
        <color theme="1"/>
      </right>
      <top style="medium">
        <color indexed="64"/>
      </top>
      <bottom style="thin">
        <color theme="1"/>
      </bottom>
      <diagonal/>
    </border>
    <border>
      <left/>
      <right/>
      <top style="medium">
        <color indexed="64"/>
      </top>
      <bottom style="thin">
        <color theme="1"/>
      </bottom>
      <diagonal/>
    </border>
    <border>
      <left/>
      <right style="thin">
        <color indexed="64"/>
      </right>
      <top style="medium">
        <color indexed="64"/>
      </top>
      <bottom style="thin">
        <color theme="1"/>
      </bottom>
      <diagonal/>
    </border>
    <border>
      <left style="thin">
        <color indexed="64"/>
      </left>
      <right style="thin">
        <color indexed="64"/>
      </right>
      <top style="medium">
        <color indexed="64"/>
      </top>
      <bottom style="thin">
        <color theme="1"/>
      </bottom>
      <diagonal/>
    </border>
    <border>
      <left style="thin">
        <color indexed="64"/>
      </left>
      <right/>
      <top style="medium">
        <color indexed="64"/>
      </top>
      <bottom style="thin">
        <color theme="1"/>
      </bottom>
      <diagonal/>
    </border>
    <border>
      <left/>
      <right style="medium">
        <color theme="1"/>
      </right>
      <top style="medium">
        <color indexed="64"/>
      </top>
      <bottom style="thin">
        <color theme="1"/>
      </bottom>
      <diagonal/>
    </border>
    <border>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thick">
        <color rgb="FFFF0000"/>
      </left>
      <right style="thick">
        <color rgb="FFFF0000"/>
      </right>
      <top style="thin">
        <color indexed="64"/>
      </top>
      <bottom style="thin">
        <color indexed="64"/>
      </bottom>
      <diagonal/>
    </border>
  </borders>
  <cellStyleXfs count="6">
    <xf numFmtId="0" fontId="0" fillId="0" borderId="0"/>
    <xf numFmtId="0" fontId="2" fillId="0" borderId="0"/>
    <xf numFmtId="0" fontId="1" fillId="0" borderId="0">
      <alignment vertical="center"/>
    </xf>
    <xf numFmtId="0" fontId="2" fillId="0" borderId="19"/>
    <xf numFmtId="0" fontId="2" fillId="0" borderId="19"/>
    <xf numFmtId="0" fontId="19" fillId="0" borderId="0" applyNumberFormat="0" applyFill="0" applyBorder="0" applyAlignment="0" applyProtection="0"/>
  </cellStyleXfs>
  <cellXfs count="198">
    <xf numFmtId="0" fontId="0" fillId="0" borderId="0" xfId="0"/>
    <xf numFmtId="0" fontId="0" fillId="0" borderId="1" xfId="0" applyBorder="1"/>
    <xf numFmtId="0" fontId="0" fillId="0" borderId="2" xfId="0" applyBorder="1"/>
    <xf numFmtId="0" fontId="0" fillId="2" borderId="1" xfId="0" applyFill="1" applyBorder="1"/>
    <xf numFmtId="0" fontId="5" fillId="0" borderId="0" xfId="1" applyFont="1"/>
    <xf numFmtId="0" fontId="7" fillId="0" borderId="0" xfId="0" applyFont="1"/>
    <xf numFmtId="0" fontId="4" fillId="0" borderId="3" xfId="0" applyFont="1" applyBorder="1"/>
    <xf numFmtId="0" fontId="4" fillId="0" borderId="2" xfId="0" applyFont="1" applyBorder="1"/>
    <xf numFmtId="0" fontId="4" fillId="0" borderId="0" xfId="0" applyFont="1" applyAlignment="1">
      <alignment horizontal="center"/>
    </xf>
    <xf numFmtId="0" fontId="4" fillId="0" borderId="0" xfId="0" applyFont="1"/>
    <xf numFmtId="176" fontId="0" fillId="5" borderId="1" xfId="0" applyNumberFormat="1" applyFill="1" applyBorder="1"/>
    <xf numFmtId="176" fontId="0" fillId="0" borderId="1" xfId="0" applyNumberFormat="1" applyBorder="1"/>
    <xf numFmtId="0" fontId="0" fillId="0" borderId="2" xfId="0" applyBorder="1" applyAlignment="1">
      <alignment wrapText="1"/>
    </xf>
    <xf numFmtId="0" fontId="0" fillId="0" borderId="4" xfId="0" applyBorder="1"/>
    <xf numFmtId="0" fontId="0" fillId="0" borderId="5" xfId="0" applyBorder="1"/>
    <xf numFmtId="0" fontId="0" fillId="0" borderId="6" xfId="0" applyBorder="1"/>
    <xf numFmtId="176" fontId="0" fillId="5" borderId="10" xfId="0" applyNumberFormat="1" applyFill="1" applyBorder="1"/>
    <xf numFmtId="0" fontId="0" fillId="0" borderId="1" xfId="0" applyBorder="1" applyAlignment="1">
      <alignment horizontal="center" vertical="center"/>
    </xf>
    <xf numFmtId="176" fontId="0" fillId="2" borderId="1" xfId="0" applyNumberFormat="1" applyFill="1" applyBorder="1"/>
    <xf numFmtId="0" fontId="0" fillId="2" borderId="1" xfId="0" applyFill="1" applyBorder="1" applyAlignment="1">
      <alignment horizontal="center" vertical="center" wrapText="1"/>
    </xf>
    <xf numFmtId="178" fontId="0" fillId="2" borderId="1" xfId="0" applyNumberFormat="1" applyFill="1" applyBorder="1"/>
    <xf numFmtId="0" fontId="0" fillId="2" borderId="1" xfId="0" applyFill="1" applyBorder="1" applyAlignment="1">
      <alignment horizontal="center" vertical="center"/>
    </xf>
    <xf numFmtId="0" fontId="0" fillId="5" borderId="7" xfId="0" applyFill="1" applyBorder="1"/>
    <xf numFmtId="177" fontId="0" fillId="5" borderId="1" xfId="0" applyNumberFormat="1" applyFill="1" applyBorder="1"/>
    <xf numFmtId="0" fontId="0" fillId="5" borderId="8" xfId="0" applyFill="1" applyBorder="1"/>
    <xf numFmtId="0" fontId="0" fillId="5" borderId="9" xfId="0" applyFill="1" applyBorder="1"/>
    <xf numFmtId="177" fontId="0" fillId="5" borderId="10" xfId="0" applyNumberFormat="1" applyFill="1" applyBorder="1"/>
    <xf numFmtId="0" fontId="0" fillId="5" borderId="11" xfId="0" applyFill="1" applyBorder="1"/>
    <xf numFmtId="0" fontId="0" fillId="0" borderId="1" xfId="0" applyBorder="1" applyAlignment="1">
      <alignment horizontal="center" vertical="center" wrapText="1"/>
    </xf>
    <xf numFmtId="0" fontId="0" fillId="0" borderId="3" xfId="0" applyBorder="1" applyAlignment="1">
      <alignment horizontal="center" vertical="center" wrapText="1"/>
    </xf>
    <xf numFmtId="178" fontId="0" fillId="0" borderId="1" xfId="0" applyNumberFormat="1" applyBorder="1"/>
    <xf numFmtId="178" fontId="0" fillId="0" borderId="3" xfId="0" applyNumberFormat="1" applyBorder="1"/>
    <xf numFmtId="0" fontId="0" fillId="2" borderId="13" xfId="0" applyFill="1" applyBorder="1"/>
    <xf numFmtId="179" fontId="4" fillId="0" borderId="3" xfId="0" applyNumberFormat="1" applyFont="1" applyBorder="1"/>
    <xf numFmtId="0" fontId="0" fillId="2" borderId="14" xfId="0" applyFill="1" applyBorder="1"/>
    <xf numFmtId="0" fontId="0" fillId="0" borderId="7" xfId="0" applyBorder="1"/>
    <xf numFmtId="0" fontId="10" fillId="0" borderId="0" xfId="2" applyFont="1">
      <alignment vertical="center"/>
    </xf>
    <xf numFmtId="0" fontId="5" fillId="0" borderId="0" xfId="0" applyFont="1"/>
    <xf numFmtId="0" fontId="11" fillId="0" borderId="0" xfId="2" applyFont="1">
      <alignment vertical="center"/>
    </xf>
    <xf numFmtId="0" fontId="9" fillId="0" borderId="0" xfId="0" applyFont="1"/>
    <xf numFmtId="0" fontId="12" fillId="0" borderId="0" xfId="0" applyFont="1"/>
    <xf numFmtId="0" fontId="15" fillId="0" borderId="2" xfId="0" applyFont="1" applyBorder="1" applyAlignment="1">
      <alignment vertical="center"/>
    </xf>
    <xf numFmtId="0" fontId="16" fillId="0" borderId="2" xfId="0" applyFont="1" applyBorder="1" applyAlignment="1">
      <alignment vertical="center"/>
    </xf>
    <xf numFmtId="0" fontId="14" fillId="0" borderId="0" xfId="0" applyFont="1" applyAlignment="1">
      <alignment vertical="center"/>
    </xf>
    <xf numFmtId="0" fontId="13" fillId="0" borderId="0" xfId="0" applyFont="1" applyAlignment="1">
      <alignment vertical="center"/>
    </xf>
    <xf numFmtId="0" fontId="18" fillId="2" borderId="12" xfId="0" applyFont="1" applyFill="1" applyBorder="1" applyAlignment="1">
      <alignment horizontal="center" vertical="center" wrapText="1"/>
    </xf>
    <xf numFmtId="0" fontId="18" fillId="0" borderId="7" xfId="0" applyFont="1" applyBorder="1" applyAlignment="1">
      <alignment horizontal="center" vertical="center" wrapText="1"/>
    </xf>
    <xf numFmtId="0" fontId="17" fillId="0" borderId="0" xfId="2" applyFont="1" applyAlignment="1">
      <alignment horizontal="right" vertical="center"/>
    </xf>
    <xf numFmtId="0" fontId="6" fillId="0" borderId="0" xfId="0" applyFont="1"/>
    <xf numFmtId="0" fontId="20" fillId="5" borderId="0" xfId="0" applyFont="1" applyFill="1" applyAlignment="1">
      <alignment vertical="center"/>
    </xf>
    <xf numFmtId="0" fontId="20" fillId="5" borderId="0" xfId="0" applyFont="1" applyFill="1" applyAlignment="1">
      <alignment horizontal="right" vertical="center"/>
    </xf>
    <xf numFmtId="0" fontId="21" fillId="5" borderId="0" xfId="0" applyFont="1" applyFill="1" applyAlignment="1">
      <alignment vertical="center"/>
    </xf>
    <xf numFmtId="0" fontId="20" fillId="5" borderId="0" xfId="0" applyFont="1" applyFill="1" applyAlignment="1">
      <alignment horizontal="left" vertical="center"/>
    </xf>
    <xf numFmtId="0" fontId="22" fillId="5" borderId="0" xfId="0" applyFont="1" applyFill="1" applyAlignment="1">
      <alignment horizontal="left" vertical="center"/>
    </xf>
    <xf numFmtId="0" fontId="23" fillId="0" borderId="0" xfId="2" applyFont="1" applyAlignment="1">
      <alignment horizontal="right" vertical="center"/>
    </xf>
    <xf numFmtId="0" fontId="23" fillId="0" borderId="0" xfId="2" applyFont="1">
      <alignment vertical="center"/>
    </xf>
    <xf numFmtId="0" fontId="25" fillId="0" borderId="0" xfId="0" applyFont="1"/>
    <xf numFmtId="0" fontId="27" fillId="0" borderId="5" xfId="0" applyFont="1" applyBorder="1" applyAlignment="1">
      <alignment horizontal="left" vertical="top" wrapText="1"/>
    </xf>
    <xf numFmtId="0" fontId="28" fillId="0" borderId="1" xfId="0" applyFont="1" applyBorder="1" applyAlignment="1">
      <alignment horizontal="left" vertical="center" wrapText="1"/>
    </xf>
    <xf numFmtId="0" fontId="29" fillId="0" borderId="0" xfId="1" applyFont="1"/>
    <xf numFmtId="0" fontId="8" fillId="0" borderId="0" xfId="1" applyFont="1" applyAlignment="1">
      <alignment horizontal="centerContinuous"/>
    </xf>
    <xf numFmtId="0" fontId="9" fillId="0" borderId="0" xfId="0" applyFont="1" applyAlignment="1">
      <alignment horizontal="centerContinuous"/>
    </xf>
    <xf numFmtId="0" fontId="30" fillId="0" borderId="0" xfId="1" applyFont="1"/>
    <xf numFmtId="0" fontId="16" fillId="2" borderId="3" xfId="0" applyFont="1" applyFill="1" applyBorder="1" applyAlignment="1">
      <alignment vertical="center"/>
    </xf>
    <xf numFmtId="0" fontId="15" fillId="0" borderId="22" xfId="0" applyFont="1" applyBorder="1" applyAlignment="1" applyProtection="1">
      <alignment horizontal="center" vertical="center"/>
      <protection locked="0"/>
    </xf>
    <xf numFmtId="0" fontId="15" fillId="0" borderId="23" xfId="0" applyFont="1" applyBorder="1" applyAlignment="1" applyProtection="1">
      <alignment horizontal="center" vertical="center"/>
      <protection locked="0"/>
    </xf>
    <xf numFmtId="0" fontId="16" fillId="0" borderId="21" xfId="0" applyFont="1" applyBorder="1" applyAlignment="1" applyProtection="1">
      <alignment horizontal="center" vertical="center"/>
      <protection locked="0"/>
    </xf>
    <xf numFmtId="0" fontId="2" fillId="0" borderId="0" xfId="1" applyAlignment="1">
      <alignment vertical="center"/>
    </xf>
    <xf numFmtId="0" fontId="2" fillId="6" borderId="33" xfId="1" applyFill="1" applyBorder="1" applyAlignment="1">
      <alignment horizontal="center" vertical="center"/>
    </xf>
    <xf numFmtId="0" fontId="26" fillId="7" borderId="35" xfId="1" applyFont="1" applyFill="1" applyBorder="1" applyAlignment="1">
      <alignment vertical="center"/>
    </xf>
    <xf numFmtId="0" fontId="26" fillId="0" borderId="36" xfId="1" applyFont="1" applyBorder="1" applyAlignment="1">
      <alignment vertical="center"/>
    </xf>
    <xf numFmtId="0" fontId="2" fillId="7" borderId="37" xfId="1" applyFill="1" applyBorder="1" applyAlignment="1">
      <alignment vertical="center"/>
    </xf>
    <xf numFmtId="0" fontId="2" fillId="7" borderId="36" xfId="1" applyFill="1" applyBorder="1" applyAlignment="1">
      <alignment vertical="center"/>
    </xf>
    <xf numFmtId="0" fontId="2" fillId="7" borderId="37" xfId="1" applyFill="1" applyBorder="1" applyAlignment="1">
      <alignment horizontal="center" vertical="center"/>
    </xf>
    <xf numFmtId="0" fontId="2" fillId="7" borderId="38" xfId="1" applyFill="1" applyBorder="1" applyAlignment="1">
      <alignment horizontal="center" vertical="center"/>
    </xf>
    <xf numFmtId="0" fontId="2" fillId="7" borderId="36" xfId="1" applyFill="1" applyBorder="1" applyAlignment="1">
      <alignment horizontal="center" vertical="center"/>
    </xf>
    <xf numFmtId="0" fontId="2" fillId="7" borderId="16" xfId="1" applyFill="1" applyBorder="1" applyAlignment="1">
      <alignment horizontal="center" vertical="center"/>
    </xf>
    <xf numFmtId="0" fontId="2" fillId="7" borderId="39" xfId="1" applyFill="1" applyBorder="1" applyAlignment="1">
      <alignment horizontal="center" vertical="center"/>
    </xf>
    <xf numFmtId="0" fontId="2" fillId="7" borderId="18" xfId="1" applyFill="1" applyBorder="1" applyAlignment="1">
      <alignment horizontal="center" vertical="center"/>
    </xf>
    <xf numFmtId="0" fontId="2" fillId="7" borderId="40" xfId="1" applyFill="1" applyBorder="1" applyAlignment="1">
      <alignment horizontal="center" vertical="center"/>
    </xf>
    <xf numFmtId="0" fontId="26" fillId="7" borderId="41" xfId="1" applyFont="1" applyFill="1" applyBorder="1" applyAlignment="1">
      <alignment vertical="center"/>
    </xf>
    <xf numFmtId="0" fontId="26" fillId="0" borderId="42" xfId="1" applyFont="1" applyBorder="1" applyAlignment="1">
      <alignment vertical="center"/>
    </xf>
    <xf numFmtId="0" fontId="2" fillId="7" borderId="43" xfId="1" applyFill="1" applyBorder="1" applyAlignment="1">
      <alignment vertical="center"/>
    </xf>
    <xf numFmtId="0" fontId="2" fillId="7" borderId="42" xfId="1" applyFill="1" applyBorder="1" applyAlignment="1">
      <alignment vertical="center"/>
    </xf>
    <xf numFmtId="0" fontId="2" fillId="7" borderId="43" xfId="1" applyFill="1" applyBorder="1" applyAlignment="1">
      <alignment horizontal="center" vertical="center"/>
    </xf>
    <xf numFmtId="0" fontId="2" fillId="7" borderId="42" xfId="1" applyFill="1" applyBorder="1" applyAlignment="1">
      <alignment horizontal="center" vertical="center"/>
    </xf>
    <xf numFmtId="0" fontId="2" fillId="7" borderId="2" xfId="1" applyFill="1" applyBorder="1" applyAlignment="1">
      <alignment horizontal="center" vertical="center"/>
    </xf>
    <xf numFmtId="0" fontId="2" fillId="7" borderId="1" xfId="1" applyFill="1" applyBorder="1" applyAlignment="1">
      <alignment horizontal="center" vertical="center"/>
    </xf>
    <xf numFmtId="0" fontId="2" fillId="7" borderId="3" xfId="1" applyFill="1" applyBorder="1" applyAlignment="1">
      <alignment horizontal="center" vertical="center"/>
    </xf>
    <xf numFmtId="0" fontId="2" fillId="7" borderId="44" xfId="1" applyFill="1" applyBorder="1" applyAlignment="1">
      <alignment horizontal="center" vertical="center"/>
    </xf>
    <xf numFmtId="0" fontId="26" fillId="7" borderId="45" xfId="1" applyFont="1" applyFill="1" applyBorder="1" applyAlignment="1">
      <alignment vertical="center"/>
    </xf>
    <xf numFmtId="0" fontId="26" fillId="0" borderId="46" xfId="1" applyFont="1" applyBorder="1" applyAlignment="1">
      <alignment vertical="center"/>
    </xf>
    <xf numFmtId="0" fontId="2" fillId="7" borderId="20" xfId="1" applyFill="1" applyBorder="1" applyAlignment="1">
      <alignment vertical="center"/>
    </xf>
    <xf numFmtId="0" fontId="2" fillId="7" borderId="46" xfId="1" applyFill="1" applyBorder="1" applyAlignment="1">
      <alignment vertical="center"/>
    </xf>
    <xf numFmtId="0" fontId="2" fillId="7" borderId="20" xfId="1" applyFill="1" applyBorder="1" applyAlignment="1">
      <alignment horizontal="center" vertical="center"/>
    </xf>
    <xf numFmtId="0" fontId="2" fillId="7" borderId="46" xfId="1" applyFill="1" applyBorder="1" applyAlignment="1">
      <alignment horizontal="center" vertical="center"/>
    </xf>
    <xf numFmtId="0" fontId="2" fillId="7" borderId="15" xfId="1" applyFill="1" applyBorder="1" applyAlignment="1">
      <alignment horizontal="center" vertical="center"/>
    </xf>
    <xf numFmtId="0" fontId="2" fillId="7" borderId="47" xfId="1" applyFill="1" applyBorder="1" applyAlignment="1">
      <alignment horizontal="center" vertical="center"/>
    </xf>
    <xf numFmtId="0" fontId="2" fillId="7" borderId="17" xfId="1" applyFill="1" applyBorder="1" applyAlignment="1">
      <alignment horizontal="center" vertical="center"/>
    </xf>
    <xf numFmtId="0" fontId="2" fillId="7" borderId="48" xfId="1" applyFill="1" applyBorder="1" applyAlignment="1">
      <alignment horizontal="center" vertical="center"/>
    </xf>
    <xf numFmtId="0" fontId="26" fillId="8" borderId="49" xfId="1" applyFont="1" applyFill="1" applyBorder="1" applyAlignment="1">
      <alignment vertical="center"/>
    </xf>
    <xf numFmtId="0" fontId="2" fillId="8" borderId="50" xfId="1" applyFill="1" applyBorder="1" applyAlignment="1">
      <alignment vertical="center"/>
    </xf>
    <xf numFmtId="0" fontId="2" fillId="8" borderId="36" xfId="1" applyFill="1" applyBorder="1" applyAlignment="1">
      <alignment vertical="center"/>
    </xf>
    <xf numFmtId="0" fontId="2" fillId="8" borderId="50" xfId="1" applyFill="1" applyBorder="1" applyAlignment="1">
      <alignment horizontal="center" vertical="center"/>
    </xf>
    <xf numFmtId="0" fontId="2" fillId="8" borderId="36" xfId="1" applyFill="1" applyBorder="1" applyAlignment="1">
      <alignment horizontal="center" vertical="center"/>
    </xf>
    <xf numFmtId="0" fontId="2" fillId="8" borderId="51" xfId="1" applyFill="1" applyBorder="1" applyAlignment="1">
      <alignment horizontal="center" vertical="center"/>
    </xf>
    <xf numFmtId="0" fontId="2" fillId="8" borderId="52" xfId="1" applyFill="1" applyBorder="1" applyAlignment="1">
      <alignment horizontal="center" vertical="center"/>
    </xf>
    <xf numFmtId="0" fontId="2" fillId="8" borderId="53" xfId="1" applyFill="1" applyBorder="1" applyAlignment="1">
      <alignment horizontal="center" vertical="center"/>
    </xf>
    <xf numFmtId="0" fontId="2" fillId="8" borderId="54" xfId="1" applyFill="1" applyBorder="1" applyAlignment="1">
      <alignment horizontal="center" vertical="center"/>
    </xf>
    <xf numFmtId="0" fontId="26" fillId="8" borderId="41" xfId="1" applyFont="1" applyFill="1" applyBorder="1" applyAlignment="1">
      <alignment vertical="center"/>
    </xf>
    <xf numFmtId="0" fontId="2" fillId="8" borderId="43" xfId="1" applyFill="1" applyBorder="1" applyAlignment="1">
      <alignment vertical="center"/>
    </xf>
    <xf numFmtId="0" fontId="2" fillId="8" borderId="42" xfId="1" applyFill="1" applyBorder="1" applyAlignment="1">
      <alignment vertical="center"/>
    </xf>
    <xf numFmtId="0" fontId="2" fillId="8" borderId="43" xfId="1" applyFill="1" applyBorder="1" applyAlignment="1">
      <alignment horizontal="center" vertical="center"/>
    </xf>
    <xf numFmtId="0" fontId="2" fillId="8" borderId="42" xfId="1" applyFill="1" applyBorder="1" applyAlignment="1">
      <alignment horizontal="center" vertical="center"/>
    </xf>
    <xf numFmtId="0" fontId="2" fillId="8" borderId="2" xfId="1" applyFill="1" applyBorder="1" applyAlignment="1">
      <alignment horizontal="center" vertical="center"/>
    </xf>
    <xf numFmtId="0" fontId="2" fillId="8" borderId="1" xfId="1" applyFill="1" applyBorder="1" applyAlignment="1">
      <alignment horizontal="center" vertical="center"/>
    </xf>
    <xf numFmtId="0" fontId="2" fillId="8" borderId="3" xfId="1" applyFill="1" applyBorder="1" applyAlignment="1">
      <alignment horizontal="center" vertical="center"/>
    </xf>
    <xf numFmtId="0" fontId="2" fillId="8" borderId="44" xfId="1" applyFill="1" applyBorder="1" applyAlignment="1">
      <alignment horizontal="center" vertical="center"/>
    </xf>
    <xf numFmtId="0" fontId="26" fillId="8" borderId="45" xfId="1" applyFont="1" applyFill="1" applyBorder="1" applyAlignment="1">
      <alignment vertical="center"/>
    </xf>
    <xf numFmtId="0" fontId="2" fillId="8" borderId="20" xfId="1" applyFill="1" applyBorder="1" applyAlignment="1">
      <alignment vertical="center"/>
    </xf>
    <xf numFmtId="0" fontId="2" fillId="8" borderId="46" xfId="1" applyFill="1" applyBorder="1" applyAlignment="1">
      <alignment vertical="center"/>
    </xf>
    <xf numFmtId="0" fontId="2" fillId="8" borderId="20" xfId="1" applyFill="1" applyBorder="1" applyAlignment="1">
      <alignment horizontal="center" vertical="center"/>
    </xf>
    <xf numFmtId="0" fontId="2" fillId="8" borderId="46" xfId="1" applyFill="1" applyBorder="1" applyAlignment="1">
      <alignment horizontal="center" vertical="center"/>
    </xf>
    <xf numFmtId="0" fontId="2" fillId="8" borderId="15" xfId="1" applyFill="1" applyBorder="1" applyAlignment="1">
      <alignment horizontal="center" vertical="center"/>
    </xf>
    <xf numFmtId="0" fontId="2" fillId="8" borderId="47" xfId="1" applyFill="1" applyBorder="1" applyAlignment="1">
      <alignment horizontal="center" vertical="center"/>
    </xf>
    <xf numFmtId="0" fontId="2" fillId="8" borderId="17" xfId="1" applyFill="1" applyBorder="1" applyAlignment="1">
      <alignment horizontal="center" vertical="center"/>
    </xf>
    <xf numFmtId="0" fontId="2" fillId="8" borderId="48" xfId="1" applyFill="1" applyBorder="1" applyAlignment="1">
      <alignment horizontal="center" vertical="center"/>
    </xf>
    <xf numFmtId="0" fontId="26" fillId="9" borderId="55" xfId="1" applyFont="1" applyFill="1" applyBorder="1" applyAlignment="1">
      <alignment vertical="center"/>
    </xf>
    <xf numFmtId="0" fontId="26" fillId="0" borderId="56" xfId="1" applyFont="1" applyBorder="1" applyAlignment="1">
      <alignment vertical="center"/>
    </xf>
    <xf numFmtId="0" fontId="2" fillId="9" borderId="57" xfId="1" applyFill="1" applyBorder="1" applyAlignment="1">
      <alignment vertical="center"/>
    </xf>
    <xf numFmtId="0" fontId="2" fillId="9" borderId="56" xfId="1" applyFill="1" applyBorder="1" applyAlignment="1">
      <alignment vertical="center"/>
    </xf>
    <xf numFmtId="0" fontId="2" fillId="9" borderId="57" xfId="1" applyFill="1" applyBorder="1" applyAlignment="1">
      <alignment horizontal="center" vertical="center"/>
    </xf>
    <xf numFmtId="0" fontId="2" fillId="9" borderId="56" xfId="1" applyFill="1" applyBorder="1" applyAlignment="1">
      <alignment horizontal="center" vertical="center"/>
    </xf>
    <xf numFmtId="0" fontId="2" fillId="9" borderId="58" xfId="1" applyFill="1" applyBorder="1" applyAlignment="1">
      <alignment horizontal="center" vertical="center"/>
    </xf>
    <xf numFmtId="0" fontId="2" fillId="9" borderId="59" xfId="1" applyFill="1" applyBorder="1" applyAlignment="1">
      <alignment horizontal="center" vertical="center"/>
    </xf>
    <xf numFmtId="0" fontId="2" fillId="9" borderId="60" xfId="1" applyFill="1" applyBorder="1" applyAlignment="1">
      <alignment horizontal="center" vertical="center"/>
    </xf>
    <xf numFmtId="0" fontId="2" fillId="9" borderId="61" xfId="1" applyFill="1" applyBorder="1" applyAlignment="1">
      <alignment horizontal="center" vertical="center"/>
    </xf>
    <xf numFmtId="0" fontId="26" fillId="9" borderId="31" xfId="1" applyFont="1" applyFill="1" applyBorder="1" applyAlignment="1">
      <alignment vertical="center"/>
    </xf>
    <xf numFmtId="0" fontId="26" fillId="0" borderId="29" xfId="1" applyFont="1" applyBorder="1" applyAlignment="1">
      <alignment vertical="center"/>
    </xf>
    <xf numFmtId="0" fontId="2" fillId="9" borderId="30" xfId="1" applyFill="1" applyBorder="1" applyAlignment="1">
      <alignment vertical="center"/>
    </xf>
    <xf numFmtId="0" fontId="2" fillId="9" borderId="29" xfId="1" applyFill="1" applyBorder="1" applyAlignment="1">
      <alignment vertical="center"/>
    </xf>
    <xf numFmtId="0" fontId="2" fillId="9" borderId="30" xfId="1" applyFill="1" applyBorder="1" applyAlignment="1">
      <alignment horizontal="center" vertical="center"/>
    </xf>
    <xf numFmtId="0" fontId="2" fillId="9" borderId="29" xfId="1" applyFill="1" applyBorder="1" applyAlignment="1">
      <alignment horizontal="center" vertical="center"/>
    </xf>
    <xf numFmtId="0" fontId="2" fillId="9" borderId="62" xfId="1" applyFill="1" applyBorder="1" applyAlignment="1">
      <alignment horizontal="center" vertical="center"/>
    </xf>
    <xf numFmtId="0" fontId="2" fillId="9" borderId="63" xfId="1" applyFill="1" applyBorder="1" applyAlignment="1">
      <alignment horizontal="center" vertical="center"/>
    </xf>
    <xf numFmtId="0" fontId="2" fillId="9" borderId="64" xfId="1" applyFill="1" applyBorder="1" applyAlignment="1">
      <alignment horizontal="center" vertical="center"/>
    </xf>
    <xf numFmtId="0" fontId="2" fillId="9" borderId="34" xfId="1" applyFill="1" applyBorder="1" applyAlignment="1">
      <alignment horizontal="center" vertical="center"/>
    </xf>
    <xf numFmtId="0" fontId="32" fillId="0" borderId="0" xfId="1" applyFont="1" applyAlignment="1">
      <alignment vertical="center"/>
    </xf>
    <xf numFmtId="0" fontId="15" fillId="0" borderId="65" xfId="0" applyFont="1" applyBorder="1" applyAlignment="1" applyProtection="1">
      <alignment horizontal="center" vertical="center"/>
      <protection locked="0"/>
    </xf>
    <xf numFmtId="0" fontId="15" fillId="2" borderId="3" xfId="0" applyFont="1" applyFill="1" applyBorder="1" applyAlignment="1">
      <alignment vertical="center"/>
    </xf>
    <xf numFmtId="0" fontId="16" fillId="0" borderId="22" xfId="0" applyFont="1" applyBorder="1" applyAlignment="1" applyProtection="1">
      <alignment horizontal="center" vertical="center"/>
      <protection locked="0"/>
    </xf>
    <xf numFmtId="0" fontId="16" fillId="0" borderId="65" xfId="0" applyFont="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 fillId="0" borderId="0" xfId="2">
      <alignment vertical="center"/>
    </xf>
    <xf numFmtId="0" fontId="34" fillId="0" borderId="0" xfId="0" applyFont="1"/>
    <xf numFmtId="0" fontId="35" fillId="0" borderId="0" xfId="0" applyFont="1"/>
    <xf numFmtId="0" fontId="11" fillId="0" borderId="0" xfId="0" applyFont="1"/>
    <xf numFmtId="0" fontId="35" fillId="0" borderId="0" xfId="0" applyFont="1" applyAlignment="1">
      <alignment horizontal="right"/>
    </xf>
    <xf numFmtId="0" fontId="37" fillId="0" borderId="0" xfId="0" applyFont="1"/>
    <xf numFmtId="0" fontId="38" fillId="0" borderId="0" xfId="1" applyFont="1" applyAlignment="1">
      <alignment vertical="center"/>
    </xf>
    <xf numFmtId="0" fontId="39" fillId="0" borderId="0" xfId="1" applyFont="1" applyAlignment="1">
      <alignment vertical="center"/>
    </xf>
    <xf numFmtId="0" fontId="15" fillId="0" borderId="0" xfId="0" applyFont="1" applyAlignment="1">
      <alignment horizontal="center" vertical="center"/>
    </xf>
    <xf numFmtId="0" fontId="4" fillId="0" borderId="0" xfId="0" applyFont="1" applyProtection="1">
      <protection locked="0"/>
    </xf>
    <xf numFmtId="0" fontId="24" fillId="0" borderId="0" xfId="5" applyFont="1" applyAlignment="1" applyProtection="1">
      <alignment vertical="center"/>
      <protection locked="0"/>
    </xf>
    <xf numFmtId="0" fontId="15" fillId="0" borderId="21" xfId="0" applyFont="1" applyBorder="1" applyAlignment="1" applyProtection="1">
      <alignment horizontal="center" vertical="center"/>
      <protection locked="0"/>
    </xf>
    <xf numFmtId="0" fontId="39" fillId="0" borderId="0" xfId="5" applyFont="1" applyAlignment="1">
      <alignment vertical="center"/>
    </xf>
    <xf numFmtId="0" fontId="40" fillId="2" borderId="2" xfId="2" applyFont="1" applyFill="1" applyBorder="1">
      <alignment vertical="center"/>
    </xf>
    <xf numFmtId="0" fontId="0" fillId="2" borderId="1" xfId="0" applyFill="1" applyBorder="1" applyAlignment="1">
      <alignment horizontal="center" vertical="center"/>
    </xf>
    <xf numFmtId="0" fontId="4" fillId="3" borderId="1" xfId="0" applyFont="1" applyFill="1" applyBorder="1" applyAlignment="1">
      <alignment horizontal="center"/>
    </xf>
    <xf numFmtId="0" fontId="8" fillId="4" borderId="1" xfId="0" applyFont="1" applyFill="1" applyBorder="1" applyAlignment="1">
      <alignment horizont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179" fontId="4" fillId="0" borderId="17" xfId="0" applyNumberFormat="1" applyFont="1" applyBorder="1" applyAlignment="1">
      <alignment horizontal="center" vertical="center"/>
    </xf>
    <xf numFmtId="179" fontId="4" fillId="0" borderId="18" xfId="0" applyNumberFormat="1" applyFont="1" applyBorder="1" applyAlignment="1">
      <alignment horizontal="center" vertical="center"/>
    </xf>
    <xf numFmtId="0" fontId="15" fillId="2" borderId="2" xfId="0" applyFont="1" applyFill="1" applyBorder="1" applyAlignment="1">
      <alignment horizontal="left" vertical="center"/>
    </xf>
    <xf numFmtId="0" fontId="15" fillId="2" borderId="1" xfId="0" applyFont="1" applyFill="1" applyBorder="1" applyAlignment="1">
      <alignment horizontal="left" vertical="center"/>
    </xf>
    <xf numFmtId="0" fontId="4" fillId="0" borderId="3" xfId="0" applyFont="1" applyBorder="1" applyAlignment="1">
      <alignment horizontal="center"/>
    </xf>
    <xf numFmtId="0" fontId="4" fillId="0" borderId="2" xfId="0" applyFont="1" applyBorder="1" applyAlignment="1">
      <alignment horizontal="center"/>
    </xf>
    <xf numFmtId="0" fontId="20" fillId="5" borderId="0" xfId="0" applyFont="1" applyFill="1" applyAlignment="1">
      <alignment horizontal="center" vertical="center"/>
    </xf>
    <xf numFmtId="0" fontId="36" fillId="0" borderId="0" xfId="5" applyFont="1" applyAlignment="1">
      <alignment horizontal="left" vertical="center"/>
    </xf>
    <xf numFmtId="0" fontId="33" fillId="0" borderId="0" xfId="1" applyFont="1" applyAlignment="1">
      <alignment horizontal="center" vertical="center"/>
    </xf>
    <xf numFmtId="0" fontId="2" fillId="6" borderId="27" xfId="1" applyFill="1" applyBorder="1" applyAlignment="1">
      <alignment horizontal="center" vertical="center"/>
    </xf>
    <xf numFmtId="0" fontId="2" fillId="6" borderId="32" xfId="1" applyFill="1" applyBorder="1" applyAlignment="1">
      <alignment horizontal="center" vertical="center"/>
    </xf>
    <xf numFmtId="0" fontId="2" fillId="6" borderId="24" xfId="1" applyFill="1" applyBorder="1" applyAlignment="1">
      <alignment horizontal="center" vertical="center"/>
    </xf>
    <xf numFmtId="0" fontId="2" fillId="6" borderId="29" xfId="1" applyFill="1" applyBorder="1" applyAlignment="1">
      <alignment horizontal="center" vertical="center"/>
    </xf>
    <xf numFmtId="0" fontId="2" fillId="6" borderId="25" xfId="1" applyFill="1" applyBorder="1" applyAlignment="1">
      <alignment horizontal="center" vertical="center"/>
    </xf>
    <xf numFmtId="0" fontId="2" fillId="6" borderId="30" xfId="1" applyFill="1" applyBorder="1" applyAlignment="1">
      <alignment horizontal="center" vertical="center"/>
    </xf>
    <xf numFmtId="0" fontId="2" fillId="6" borderId="26" xfId="1" applyFill="1" applyBorder="1" applyAlignment="1">
      <alignment horizontal="center" vertical="center"/>
    </xf>
    <xf numFmtId="0" fontId="2" fillId="6" borderId="31" xfId="1" applyFill="1" applyBorder="1" applyAlignment="1">
      <alignment horizontal="center" vertical="center"/>
    </xf>
    <xf numFmtId="0" fontId="31" fillId="6" borderId="28" xfId="1" applyFont="1" applyFill="1" applyBorder="1" applyAlignment="1">
      <alignment horizontal="center" vertical="center" wrapText="1"/>
    </xf>
    <xf numFmtId="0" fontId="28" fillId="6" borderId="34" xfId="1" applyFont="1" applyFill="1" applyBorder="1" applyAlignment="1">
      <alignment horizontal="center" vertical="center"/>
    </xf>
    <xf numFmtId="0" fontId="2" fillId="6" borderId="0" xfId="1" applyFill="1" applyAlignment="1">
      <alignment horizontal="center" vertical="center"/>
    </xf>
    <xf numFmtId="0" fontId="27" fillId="6" borderId="24" xfId="1" applyFont="1" applyFill="1" applyBorder="1" applyAlignment="1">
      <alignment horizontal="center" vertical="center" wrapText="1"/>
    </xf>
    <xf numFmtId="0" fontId="27" fillId="6" borderId="34" xfId="1" applyFont="1" applyFill="1" applyBorder="1" applyAlignment="1">
      <alignment horizontal="center" vertical="center" wrapText="1"/>
    </xf>
    <xf numFmtId="0" fontId="31" fillId="6" borderId="24" xfId="1" applyFont="1" applyFill="1" applyBorder="1" applyAlignment="1">
      <alignment horizontal="center" vertical="center" wrapText="1"/>
    </xf>
    <xf numFmtId="0" fontId="28" fillId="6" borderId="29" xfId="1" applyFont="1" applyFill="1" applyBorder="1" applyAlignment="1">
      <alignment horizontal="center" vertical="center"/>
    </xf>
    <xf numFmtId="0" fontId="2" fillId="6" borderId="26" xfId="1" applyFill="1" applyBorder="1" applyAlignment="1">
      <alignment horizontal="center" vertical="center" wrapText="1"/>
    </xf>
    <xf numFmtId="0" fontId="2" fillId="6" borderId="24" xfId="1" applyFill="1" applyBorder="1" applyAlignment="1">
      <alignment horizontal="center" vertical="center" wrapText="1"/>
    </xf>
  </cellXfs>
  <cellStyles count="6">
    <cellStyle name="スタイル 1" xfId="3" xr:uid="{EF8153AA-B8EA-4DED-85E5-1DFAB9D4FA09}"/>
    <cellStyle name="スタイル 2" xfId="4" xr:uid="{93B3E68D-1627-45AA-8601-B4A0D48488F7}"/>
    <cellStyle name="ハイパーリンク" xfId="5" builtinId="8"/>
    <cellStyle name="標準" xfId="0" builtinId="0"/>
    <cellStyle name="標準 2" xfId="1" xr:uid="{C6C1F664-0BB9-4514-B11F-F67FFF946838}"/>
    <cellStyle name="標準 3" xfId="2" xr:uid="{00B992DE-73C9-4F43-92CD-1D1E04F7F4F6}"/>
  </cellStyles>
  <dxfs count="38">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fill>
        <patternFill>
          <bgColor theme="0"/>
        </patternFill>
      </fill>
      <border>
        <left/>
        <right/>
        <top/>
        <bottom/>
        <vertical/>
        <horizontal/>
      </border>
    </dxf>
    <dxf>
      <font>
        <color theme="0"/>
      </font>
      <border>
        <left/>
        <right/>
        <bottom/>
        <vertical/>
        <horizontal/>
      </border>
    </dxf>
    <dxf>
      <font>
        <color theme="0"/>
      </font>
      <fill>
        <patternFill>
          <bgColor theme="0"/>
        </patternFill>
      </fill>
      <border>
        <left/>
        <right/>
        <top/>
        <bottom/>
        <vertical/>
        <horizontal/>
      </border>
    </dxf>
    <dxf>
      <font>
        <color theme="0"/>
      </font>
      <border>
        <left/>
        <right/>
        <bottom/>
        <vertical/>
        <horizontal/>
      </border>
    </dxf>
    <dxf>
      <font>
        <color theme="0"/>
      </font>
      <fill>
        <patternFill>
          <bgColor theme="0"/>
        </patternFill>
      </fill>
      <border>
        <left/>
        <right/>
        <top/>
        <bottom/>
        <vertical/>
        <horizontal/>
      </border>
    </dxf>
    <dxf>
      <font>
        <color theme="0"/>
      </font>
      <border>
        <left/>
        <right/>
        <bottom/>
        <vertical/>
        <horizontal/>
      </border>
    </dxf>
    <dxf>
      <border>
        <left style="thin">
          <color rgb="FFFF0000"/>
        </left>
        <right style="thin">
          <color rgb="FFFF0000"/>
        </right>
        <top style="thin">
          <color theme="1"/>
        </top>
        <bottom style="thin">
          <color rgb="FFFF0000"/>
        </bottom>
        <vertical/>
        <horizontal/>
      </border>
    </dxf>
    <dxf>
      <border>
        <left style="thin">
          <color rgb="FFFF0000"/>
        </left>
        <right style="thin">
          <color rgb="FFFF0000"/>
        </right>
        <top style="thin">
          <color theme="1"/>
        </top>
        <bottom style="thin">
          <color theme="1"/>
        </bottom>
        <vertical/>
        <horizontal/>
      </border>
    </dxf>
    <dxf>
      <fill>
        <patternFill>
          <bgColor rgb="FFFFFF00"/>
        </patternFill>
      </fill>
    </dxf>
    <dxf>
      <border>
        <left style="thin">
          <color rgb="FFFF0000"/>
        </left>
        <right style="thin">
          <color rgb="FFFF0000"/>
        </right>
        <top style="thin">
          <color rgb="FFFF0000"/>
        </top>
        <bottom style="thin">
          <color theme="1"/>
        </bottom>
        <vertical/>
        <horizontal/>
      </border>
    </dxf>
    <dxf>
      <font>
        <color theme="1"/>
      </font>
      <border>
        <left/>
        <right style="thin">
          <color auto="1"/>
        </right>
        <top style="thin">
          <color auto="1"/>
        </top>
        <bottom style="thin">
          <color auto="1"/>
        </bottom>
        <vertical/>
        <horizontal/>
      </border>
    </dxf>
    <dxf>
      <font>
        <color theme="1"/>
      </font>
      <border>
        <left/>
        <right style="thin">
          <color auto="1"/>
        </right>
        <top style="thin">
          <color auto="1"/>
        </top>
        <bottom style="thin">
          <color auto="1"/>
        </bottom>
        <vertical/>
        <horizontal/>
      </border>
    </dxf>
    <dxf>
      <fill>
        <patternFill>
          <bgColor rgb="FFFFFF00"/>
        </patternFill>
      </fill>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theme="1"/>
        </top>
        <bottom style="thin">
          <color rgb="FFFF0000"/>
        </bottom>
        <vertical/>
        <horizontal/>
      </border>
    </dxf>
    <dxf>
      <font>
        <color theme="1"/>
      </font>
      <border>
        <left style="thin">
          <color rgb="FFFF0000"/>
        </left>
        <right style="thin">
          <color rgb="FFFF0000"/>
        </right>
        <top style="thin">
          <color theme="1"/>
        </top>
        <bottom style="thin">
          <color theme="1"/>
        </bottom>
        <vertical/>
        <horizontal/>
      </border>
    </dxf>
    <dxf>
      <fill>
        <patternFill>
          <bgColor rgb="FFFFFF00"/>
        </patternFill>
      </fill>
    </dxf>
    <dxf>
      <font>
        <color theme="1"/>
      </font>
      <border>
        <left style="thin">
          <color rgb="FFFF0000"/>
        </left>
        <right style="thin">
          <color rgb="FFFF0000"/>
        </right>
        <top style="thin">
          <color rgb="FFFF0000"/>
        </top>
        <bottom style="thin">
          <color auto="1"/>
        </bottom>
        <vertical/>
        <horizontal/>
      </border>
    </dxf>
    <dxf>
      <font>
        <color theme="1"/>
      </font>
      <fill>
        <patternFill>
          <bgColor theme="2"/>
        </patternFill>
      </fill>
      <border>
        <left style="thin">
          <color auto="1"/>
        </left>
        <right style="thin">
          <color auto="1"/>
        </right>
        <top style="thin">
          <color auto="1"/>
        </top>
        <bottom style="thin">
          <color auto="1"/>
        </bottom>
        <vertical/>
        <horizontal/>
      </border>
    </dxf>
    <dxf>
      <font>
        <color theme="1"/>
      </font>
      <fill>
        <patternFill>
          <bgColor theme="2"/>
        </patternFill>
      </fill>
      <border>
        <left style="thin">
          <color auto="1"/>
        </left>
        <right style="thin">
          <color rgb="FFFF0000"/>
        </right>
        <top style="thin">
          <color auto="1"/>
        </top>
        <bottom style="thin">
          <color auto="1"/>
        </bottom>
        <vertical/>
        <horizontal/>
      </border>
    </dxf>
    <dxf>
      <font>
        <color theme="1"/>
      </font>
      <fill>
        <patternFill>
          <bgColor theme="2"/>
        </patternFill>
      </fill>
      <border>
        <left style="thin">
          <color auto="1"/>
        </left>
        <right style="thin">
          <color rgb="FFFF0000"/>
        </right>
        <top style="thin">
          <color auto="1"/>
        </top>
        <bottom style="thin">
          <color auto="1"/>
        </bottom>
        <vertical/>
        <horizontal/>
      </border>
    </dxf>
    <dxf>
      <font>
        <color theme="0"/>
      </font>
      <fill>
        <patternFill>
          <bgColor theme="0"/>
        </patternFill>
      </fill>
      <border>
        <left/>
        <right/>
        <top/>
        <bottom/>
        <vertical/>
        <horizontal/>
      </border>
    </dxf>
    <dxf>
      <font>
        <b/>
        <i val="0"/>
        <color theme="1"/>
      </font>
    </dxf>
    <dxf>
      <font>
        <color theme="0"/>
      </font>
      <fill>
        <patternFill>
          <bgColor theme="0"/>
        </patternFill>
      </fill>
      <border>
        <left/>
        <right/>
        <top/>
        <bottom/>
        <vertical/>
        <horizontal/>
      </border>
    </dxf>
    <dxf>
      <font>
        <b/>
        <i val="0"/>
        <color theme="1"/>
      </font>
    </dxf>
    <dxf>
      <font>
        <color theme="0"/>
      </font>
      <fill>
        <patternFill>
          <bgColor theme="0"/>
        </patternFill>
      </fill>
      <border>
        <left/>
        <right/>
        <top/>
        <bottom/>
        <vertical/>
        <horizontal/>
      </border>
    </dxf>
    <dxf>
      <font>
        <b/>
        <i val="0"/>
        <color theme="1"/>
      </font>
    </dxf>
    <dxf>
      <font>
        <color theme="1"/>
      </font>
      <border>
        <left style="thin">
          <color rgb="FFFF0000"/>
        </left>
        <right style="thin">
          <color rgb="FFFF0000"/>
        </right>
        <top style="thin">
          <color auto="1"/>
        </top>
        <bottom style="thin">
          <color rgb="FFFF0000"/>
        </bottom>
        <vertical/>
        <horizontal/>
      </border>
    </dxf>
    <dxf>
      <fill>
        <patternFill>
          <bgColor rgb="FFFFFF00"/>
        </patternFill>
      </fill>
    </dxf>
    <dxf>
      <font>
        <color theme="1"/>
      </font>
      <border>
        <left style="thin">
          <color rgb="FFFF0000"/>
        </left>
        <right style="thin">
          <color rgb="FFFF0000"/>
        </right>
        <top style="thin">
          <color rgb="FFFF0000"/>
        </top>
        <bottom style="thin">
          <color theme="1"/>
        </bottom>
        <vertical/>
        <horizontal/>
      </border>
    </dxf>
    <dxf>
      <border>
        <left style="thin">
          <color rgb="FFFF0000"/>
        </left>
        <right style="thin">
          <color rgb="FFFF0000"/>
        </right>
        <top style="thin">
          <color auto="1"/>
        </top>
        <bottom style="thin">
          <color rgb="FFFF0000"/>
        </bottom>
        <vertical/>
        <horizontal/>
      </border>
    </dxf>
    <dxf>
      <font>
        <color theme="1"/>
      </font>
      <border>
        <left style="thin">
          <color rgb="FFFF0000"/>
        </left>
        <right style="thin">
          <color rgb="FFFF0000"/>
        </right>
        <top style="thin">
          <color theme="1"/>
        </top>
        <bottom style="thin">
          <color theme="1"/>
        </bottom>
        <vertical/>
        <horizontal/>
      </border>
    </dxf>
    <dxf>
      <fill>
        <patternFill>
          <bgColor rgb="FFFFFF00"/>
        </patternFill>
      </fill>
    </dxf>
    <dxf>
      <font>
        <color theme="1"/>
      </font>
      <border>
        <left style="thin">
          <color rgb="FFFF0000"/>
        </left>
        <right style="thin">
          <color rgb="FFFF0000"/>
        </right>
        <top style="thin">
          <color rgb="FFFF0000"/>
        </top>
        <bottom style="thin">
          <color theme="1"/>
        </bottom>
        <vertical/>
        <horizontal/>
      </border>
    </dxf>
  </dxfs>
  <tableStyles count="0" defaultTableStyle="TableStyleMedium2" defaultPivotStyle="PivotStyleLight16"/>
  <colors>
    <mruColors>
      <color rgb="FF1BA53F"/>
      <color rgb="FFD4F7FC"/>
      <color rgb="FFD5F1FF"/>
      <color rgb="FFD7FCD2"/>
      <color rgb="FFEC38DF"/>
      <color rgb="FF20BA7C"/>
      <color rgb="FF23CF89"/>
      <color rgb="FF31CF1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8" Type="http://schemas.openxmlformats.org/officeDocument/2006/relationships/hyperlink" Target="https://www.earthblower.com/ark/" TargetMode="External"/><Relationship Id="rId13" Type="http://schemas.openxmlformats.org/officeDocument/2006/relationships/hyperlink" Target="https://www.earthblower.com/fujin-pride/" TargetMode="External"/><Relationship Id="rId18" Type="http://schemas.openxmlformats.org/officeDocument/2006/relationships/image" Target="../media/image11.png"/><Relationship Id="rId3" Type="http://schemas.openxmlformats.org/officeDocument/2006/relationships/hyperlink" Target="https://www.earthblower.com/doct-cooler-dtc220-d2/" TargetMode="External"/><Relationship Id="rId21" Type="http://schemas.openxmlformats.org/officeDocument/2006/relationships/image" Target="../media/image13.svg"/><Relationship Id="rId7" Type="http://schemas.openxmlformats.org/officeDocument/2006/relationships/image" Target="../media/image6.png"/><Relationship Id="rId12" Type="http://schemas.openxmlformats.org/officeDocument/2006/relationships/image" Target="../media/image8.png"/><Relationship Id="rId17" Type="http://schemas.openxmlformats.org/officeDocument/2006/relationships/hyperlink" Target="https://www.earthblower.com/mion/" TargetMode="External"/><Relationship Id="rId2" Type="http://schemas.openxmlformats.org/officeDocument/2006/relationships/image" Target="../media/image4.png"/><Relationship Id="rId16" Type="http://schemas.openxmlformats.org/officeDocument/2006/relationships/image" Target="../media/image10.png"/><Relationship Id="rId20" Type="http://schemas.openxmlformats.org/officeDocument/2006/relationships/image" Target="../media/image12.png"/><Relationship Id="rId1" Type="http://schemas.openxmlformats.org/officeDocument/2006/relationships/hyperlink" Target="https://www.earthblower.com/raijin/" TargetMode="External"/><Relationship Id="rId6" Type="http://schemas.openxmlformats.org/officeDocument/2006/relationships/hyperlink" Target="https://www.earthblower.com/doct-cooler-dtc300d1/" TargetMode="External"/><Relationship Id="rId11" Type="http://schemas.openxmlformats.org/officeDocument/2006/relationships/hyperlink" Target="https://www.earthblower.com/hayate/" TargetMode="External"/><Relationship Id="rId5" Type="http://schemas.openxmlformats.org/officeDocument/2006/relationships/hyperlink" Target="https://www.earthblower.com/doct-cooler-dtc260-d2/" TargetMode="External"/><Relationship Id="rId15" Type="http://schemas.openxmlformats.org/officeDocument/2006/relationships/hyperlink" Target="https://www.earthblower.com/arashi/" TargetMode="External"/><Relationship Id="rId23" Type="http://schemas.openxmlformats.org/officeDocument/2006/relationships/image" Target="../media/image15.svg"/><Relationship Id="rId10" Type="http://schemas.microsoft.com/office/2007/relationships/hdphoto" Target="../media/hdphoto1.wdp"/><Relationship Id="rId19" Type="http://schemas.openxmlformats.org/officeDocument/2006/relationships/image" Target="../media/image2.png"/><Relationship Id="rId4" Type="http://schemas.openxmlformats.org/officeDocument/2006/relationships/image" Target="../media/image5.jpeg"/><Relationship Id="rId9" Type="http://schemas.openxmlformats.org/officeDocument/2006/relationships/image" Target="../media/image7.png"/><Relationship Id="rId14" Type="http://schemas.openxmlformats.org/officeDocument/2006/relationships/image" Target="../media/image9.png"/><Relationship Id="rId22" Type="http://schemas.openxmlformats.org/officeDocument/2006/relationships/image" Target="../media/image1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428625</xdr:colOff>
          <xdr:row>19</xdr:row>
          <xdr:rowOff>297084</xdr:rowOff>
        </xdr:from>
        <xdr:to>
          <xdr:col>16</xdr:col>
          <xdr:colOff>77107</xdr:colOff>
          <xdr:row>29</xdr:row>
          <xdr:rowOff>205463</xdr:rowOff>
        </xdr:to>
        <xdr:pic>
          <xdr:nvPicPr>
            <xdr:cNvPr id="36" name="図 35">
              <a:extLst>
                <a:ext uri="{FF2B5EF4-FFF2-40B4-BE49-F238E27FC236}">
                  <a16:creationId xmlns:a16="http://schemas.microsoft.com/office/drawing/2014/main" id="{87CCA5DC-EE4D-24D9-76C3-F943E3271979}"/>
                </a:ext>
              </a:extLst>
            </xdr:cNvPr>
            <xdr:cNvPicPr>
              <a:picLocks noChangeAspect="1" noChangeArrowheads="1"/>
              <a:extLst>
                <a:ext uri="{84589F7E-364E-4C9E-8A38-B11213B215E9}">
                  <a14:cameraTool cellRange="判定" spid="_x0000_s1337"/>
                </a:ext>
              </a:extLst>
            </xdr:cNvPicPr>
          </xdr:nvPicPr>
          <xdr:blipFill>
            <a:blip xmlns:r="http://schemas.openxmlformats.org/officeDocument/2006/relationships" r:embed="rId1"/>
            <a:srcRect/>
            <a:stretch>
              <a:fillRect/>
            </a:stretch>
          </xdr:blipFill>
          <xdr:spPr bwMode="auto">
            <a:xfrm>
              <a:off x="11160125" y="6329584"/>
              <a:ext cx="2553607" cy="308337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0</xdr:colOff>
      <xdr:row>0</xdr:row>
      <xdr:rowOff>0</xdr:rowOff>
    </xdr:from>
    <xdr:to>
      <xdr:col>7</xdr:col>
      <xdr:colOff>594237</xdr:colOff>
      <xdr:row>1</xdr:row>
      <xdr:rowOff>209229</xdr:rowOff>
    </xdr:to>
    <xdr:sp macro="" textlink="">
      <xdr:nvSpPr>
        <xdr:cNvPr id="3" name="四角形: 角を丸くする 2">
          <a:extLst>
            <a:ext uri="{FF2B5EF4-FFF2-40B4-BE49-F238E27FC236}">
              <a16:creationId xmlns:a16="http://schemas.microsoft.com/office/drawing/2014/main" id="{8AAE163A-275B-432B-9079-C8E226D9A185}"/>
            </a:ext>
          </a:extLst>
        </xdr:cNvPr>
        <xdr:cNvSpPr/>
      </xdr:nvSpPr>
      <xdr:spPr>
        <a:xfrm>
          <a:off x="0" y="0"/>
          <a:ext cx="6737862" cy="526729"/>
        </a:xfrm>
        <a:prstGeom prst="roundRect">
          <a:avLst/>
        </a:prstGeom>
        <a:solidFill>
          <a:schemeClr val="accent1">
            <a:lumMod val="75000"/>
          </a:schemeClr>
        </a:solidFill>
        <a:ln w="57150">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b"/>
        <a:lstStyle/>
        <a:p>
          <a:pPr algn="r"/>
          <a:r>
            <a:rPr kumimoji="1" lang="ja-JP" altLang="en-US" sz="1800" b="1">
              <a:latin typeface="BIZ UDPゴシック" panose="020B0400000000000000" pitchFamily="50" charset="-128"/>
              <a:ea typeface="BIZ UDPゴシック" panose="020B0400000000000000" pitchFamily="50" charset="-128"/>
            </a:rPr>
            <a:t>大型冷風機　おすすめ製品算出シート</a:t>
          </a:r>
        </a:p>
      </xdr:txBody>
    </xdr:sp>
    <xdr:clientData/>
  </xdr:twoCellAnchor>
  <xdr:twoCellAnchor editAs="oneCell">
    <xdr:from>
      <xdr:col>0</xdr:col>
      <xdr:colOff>40821</xdr:colOff>
      <xdr:row>0</xdr:row>
      <xdr:rowOff>27214</xdr:rowOff>
    </xdr:from>
    <xdr:to>
      <xdr:col>2</xdr:col>
      <xdr:colOff>823393</xdr:colOff>
      <xdr:row>1</xdr:row>
      <xdr:rowOff>207222</xdr:rowOff>
    </xdr:to>
    <xdr:pic>
      <xdr:nvPicPr>
        <xdr:cNvPr id="4" name="図 3">
          <a:extLst>
            <a:ext uri="{FF2B5EF4-FFF2-40B4-BE49-F238E27FC236}">
              <a16:creationId xmlns:a16="http://schemas.microsoft.com/office/drawing/2014/main" id="{81B83FBB-C035-4CA9-AD7B-258A142F78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821" y="27214"/>
          <a:ext cx="2782822" cy="506579"/>
        </a:xfrm>
        <a:prstGeom prst="rect">
          <a:avLst/>
        </a:prstGeom>
      </xdr:spPr>
    </xdr:pic>
    <xdr:clientData/>
  </xdr:twoCellAnchor>
  <xdr:twoCellAnchor>
    <xdr:from>
      <xdr:col>1</xdr:col>
      <xdr:colOff>1193858</xdr:colOff>
      <xdr:row>1</xdr:row>
      <xdr:rowOff>172559</xdr:rowOff>
    </xdr:from>
    <xdr:to>
      <xdr:col>4</xdr:col>
      <xdr:colOff>138003</xdr:colOff>
      <xdr:row>2</xdr:row>
      <xdr:rowOff>259322</xdr:rowOff>
    </xdr:to>
    <xdr:grpSp>
      <xdr:nvGrpSpPr>
        <xdr:cNvPr id="7" name="グループ化 6">
          <a:extLst>
            <a:ext uri="{FF2B5EF4-FFF2-40B4-BE49-F238E27FC236}">
              <a16:creationId xmlns:a16="http://schemas.microsoft.com/office/drawing/2014/main" id="{643468C0-8AD4-B170-5FDA-264707DB9AB4}"/>
            </a:ext>
          </a:extLst>
        </xdr:cNvPr>
        <xdr:cNvGrpSpPr/>
      </xdr:nvGrpSpPr>
      <xdr:grpSpPr>
        <a:xfrm>
          <a:off x="1874215" y="499130"/>
          <a:ext cx="1774431" cy="413335"/>
          <a:chOff x="1809581" y="522942"/>
          <a:chExt cx="1774431" cy="413335"/>
        </a:xfrm>
      </xdr:grpSpPr>
      <xdr:sp macro="" textlink="">
        <xdr:nvSpPr>
          <xdr:cNvPr id="5" name="テキスト ボックス 4">
            <a:extLst>
              <a:ext uri="{FF2B5EF4-FFF2-40B4-BE49-F238E27FC236}">
                <a16:creationId xmlns:a16="http://schemas.microsoft.com/office/drawing/2014/main" id="{4CD1FA30-AC27-4460-9325-48E300517E05}"/>
              </a:ext>
            </a:extLst>
          </xdr:cNvPr>
          <xdr:cNvSpPr txBox="1"/>
        </xdr:nvSpPr>
        <xdr:spPr>
          <a:xfrm>
            <a:off x="1809581" y="525546"/>
            <a:ext cx="1771709" cy="409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200" b="1">
                <a:ln w="60325">
                  <a:solidFill>
                    <a:srgbClr val="FF0000"/>
                  </a:solidFill>
                </a:ln>
                <a:solidFill>
                  <a:srgbClr val="FF0000"/>
                </a:solidFill>
              </a:rPr>
              <a:t>黄色の部分</a:t>
            </a:r>
          </a:p>
        </xdr:txBody>
      </xdr:sp>
      <xdr:sp macro="" textlink="">
        <xdr:nvSpPr>
          <xdr:cNvPr id="6" name="テキスト ボックス 5">
            <a:extLst>
              <a:ext uri="{FF2B5EF4-FFF2-40B4-BE49-F238E27FC236}">
                <a16:creationId xmlns:a16="http://schemas.microsoft.com/office/drawing/2014/main" id="{79C133B0-B5A6-472E-8B33-782C2952B153}"/>
              </a:ext>
            </a:extLst>
          </xdr:cNvPr>
          <xdr:cNvSpPr txBox="1"/>
        </xdr:nvSpPr>
        <xdr:spPr>
          <a:xfrm>
            <a:off x="1812303" y="522942"/>
            <a:ext cx="1771709" cy="413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200" b="1">
                <a:ln>
                  <a:noFill/>
                </a:ln>
                <a:solidFill>
                  <a:srgbClr val="FFFF00"/>
                </a:solidFill>
              </a:rPr>
              <a:t>黄色の部分</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116434</xdr:colOff>
      <xdr:row>8</xdr:row>
      <xdr:rowOff>31840</xdr:rowOff>
    </xdr:from>
    <xdr:ext cx="438150" cy="477005"/>
    <xdr:pic>
      <xdr:nvPicPr>
        <xdr:cNvPr id="2" name="図 1">
          <a:hlinkClick xmlns:r="http://schemas.openxmlformats.org/officeDocument/2006/relationships" r:id="rId1"/>
          <a:extLst>
            <a:ext uri="{FF2B5EF4-FFF2-40B4-BE49-F238E27FC236}">
              <a16:creationId xmlns:a16="http://schemas.microsoft.com/office/drawing/2014/main" id="{C7C91B1D-EF39-4A30-B601-FF5EA2A48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35634" y="3451315"/>
          <a:ext cx="438150" cy="477005"/>
        </a:xfrm>
        <a:prstGeom prst="rect">
          <a:avLst/>
        </a:prstGeom>
      </xdr:spPr>
    </xdr:pic>
    <xdr:clientData/>
  </xdr:oneCellAnchor>
  <xdr:oneCellAnchor>
    <xdr:from>
      <xdr:col>1</xdr:col>
      <xdr:colOff>183109</xdr:colOff>
      <xdr:row>5</xdr:row>
      <xdr:rowOff>40503</xdr:rowOff>
    </xdr:from>
    <xdr:ext cx="304800" cy="434703"/>
    <xdr:pic>
      <xdr:nvPicPr>
        <xdr:cNvPr id="3" name="図 2">
          <a:hlinkClick xmlns:r="http://schemas.openxmlformats.org/officeDocument/2006/relationships" r:id="rId3"/>
          <a:extLst>
            <a:ext uri="{FF2B5EF4-FFF2-40B4-BE49-F238E27FC236}">
              <a16:creationId xmlns:a16="http://schemas.microsoft.com/office/drawing/2014/main" id="{71FFBEE2-BFBF-4A22-9817-580C9C2F589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02309" y="1945503"/>
          <a:ext cx="304800" cy="43470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183109</xdr:colOff>
      <xdr:row>4</xdr:row>
      <xdr:rowOff>43035</xdr:rowOff>
    </xdr:from>
    <xdr:ext cx="304800" cy="434703"/>
    <xdr:pic>
      <xdr:nvPicPr>
        <xdr:cNvPr id="4" name="図 3">
          <a:hlinkClick xmlns:r="http://schemas.openxmlformats.org/officeDocument/2006/relationships" r:id="rId5"/>
          <a:extLst>
            <a:ext uri="{FF2B5EF4-FFF2-40B4-BE49-F238E27FC236}">
              <a16:creationId xmlns:a16="http://schemas.microsoft.com/office/drawing/2014/main" id="{13F196F9-0C00-4FD6-B54A-45C68620159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02309" y="1443210"/>
          <a:ext cx="304800" cy="43470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159297</xdr:colOff>
      <xdr:row>3</xdr:row>
      <xdr:rowOff>34346</xdr:rowOff>
    </xdr:from>
    <xdr:ext cx="333375" cy="513229"/>
    <xdr:pic>
      <xdr:nvPicPr>
        <xdr:cNvPr id="5" name="図 4">
          <a:hlinkClick xmlns:r="http://schemas.openxmlformats.org/officeDocument/2006/relationships" r:id="rId6"/>
          <a:extLst>
            <a:ext uri="{FF2B5EF4-FFF2-40B4-BE49-F238E27FC236}">
              <a16:creationId xmlns:a16="http://schemas.microsoft.com/office/drawing/2014/main" id="{1E036FA6-A2EB-4143-937E-5E54A8CB8B5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378497" y="929696"/>
          <a:ext cx="333375" cy="513229"/>
        </a:xfrm>
        <a:prstGeom prst="rect">
          <a:avLst/>
        </a:prstGeom>
      </xdr:spPr>
    </xdr:pic>
    <xdr:clientData/>
  </xdr:oneCellAnchor>
  <xdr:oneCellAnchor>
    <xdr:from>
      <xdr:col>1</xdr:col>
      <xdr:colOff>45883</xdr:colOff>
      <xdr:row>10</xdr:row>
      <xdr:rowOff>37971</xdr:rowOff>
    </xdr:from>
    <xdr:ext cx="485317" cy="427841"/>
    <xdr:pic>
      <xdr:nvPicPr>
        <xdr:cNvPr id="6" name="図 5">
          <a:hlinkClick xmlns:r="http://schemas.openxmlformats.org/officeDocument/2006/relationships" r:id="rId8"/>
          <a:extLst>
            <a:ext uri="{FF2B5EF4-FFF2-40B4-BE49-F238E27FC236}">
              <a16:creationId xmlns:a16="http://schemas.microsoft.com/office/drawing/2014/main" id="{E5D0ACFE-D1CF-4FCE-9B2F-EB50165B2FC8}"/>
            </a:ext>
          </a:extLst>
        </xdr:cNvPr>
        <xdr:cNvPicPr>
          <a:picLocks noChangeAspect="1"/>
        </xdr:cNvPicPr>
      </xdr:nvPicPr>
      <xdr:blipFill>
        <a:blip xmlns:r="http://schemas.openxmlformats.org/officeDocument/2006/relationships" r:embed="rId9">
          <a:extLst>
            <a:ext uri="{BEBA8EAE-BF5A-486C-A8C5-ECC9F3942E4B}">
              <a14:imgProps xmlns:a14="http://schemas.microsoft.com/office/drawing/2010/main">
                <a14:imgLayer r:embed="rId10">
                  <a14:imgEffect>
                    <a14:backgroundRemoval t="4671" b="97877" l="5860" r="94707">
                      <a14:foregroundMark x1="7372" y1="19108" x2="8696" y2="69639"/>
                      <a14:foregroundMark x1="11342" y1="75159" x2="11342" y2="75159"/>
                      <a14:foregroundMark x1="68242" y1="10828" x2="84688" y2="10403"/>
                      <a14:foregroundMark x1="84688" y1="10403" x2="92060" y2="4671"/>
                      <a14:foregroundMark x1="94329" y1="5520" x2="94140" y2="64119"/>
                      <a14:foregroundMark x1="94140" y1="64119" x2="95652" y2="67091"/>
                      <a14:foregroundMark x1="72590" y1="91507" x2="72590" y2="91507"/>
                      <a14:foregroundMark x1="69943" y1="94904" x2="69943" y2="94904"/>
                      <a14:foregroundMark x1="71645" y1="95541" x2="71645" y2="95541"/>
                      <a14:foregroundMark x1="69187" y1="98089" x2="69187" y2="98089"/>
                      <a14:foregroundMark x1="5860" y1="20594" x2="5860" y2="20594"/>
                      <a14:foregroundMark x1="5860" y1="21868" x2="5860" y2="21868"/>
                      <a14:foregroundMark x1="5671" y1="24628" x2="5671" y2="24628"/>
                      <a14:foregroundMark x1="5671" y1="26752" x2="5671" y2="26752"/>
                      <a14:foregroundMark x1="5860" y1="26115" x2="5860" y2="26115"/>
                      <a14:foregroundMark x1="6238" y1="24204" x2="6238" y2="24204"/>
                      <a14:foregroundMark x1="6616" y1="23355" x2="6616" y2="23355"/>
                      <a14:foregroundMark x1="6616" y1="23355" x2="6616" y2="23355"/>
                      <a14:foregroundMark x1="5671" y1="22718" x2="5671" y2="22718"/>
                      <a14:foregroundMark x1="5671" y1="19745" x2="5671" y2="19745"/>
                      <a14:foregroundMark x1="5860" y1="18471" x2="5860" y2="18471"/>
                      <a14:foregroundMark x1="67108" y1="50106" x2="67108" y2="50106"/>
                    </a14:backgroundRemoval>
                  </a14:imgEffect>
                </a14:imgLayer>
              </a14:imgProps>
            </a:ext>
          </a:extLst>
        </a:blip>
        <a:stretch>
          <a:fillRect/>
        </a:stretch>
      </xdr:blipFill>
      <xdr:spPr>
        <a:xfrm>
          <a:off x="1265083" y="4467096"/>
          <a:ext cx="485317" cy="427841"/>
        </a:xfrm>
        <a:prstGeom prst="rect">
          <a:avLst/>
        </a:prstGeom>
      </xdr:spPr>
    </xdr:pic>
    <xdr:clientData/>
  </xdr:oneCellAnchor>
  <xdr:oneCellAnchor>
    <xdr:from>
      <xdr:col>1</xdr:col>
      <xdr:colOff>130723</xdr:colOff>
      <xdr:row>7</xdr:row>
      <xdr:rowOff>19049</xdr:rowOff>
    </xdr:from>
    <xdr:ext cx="381000" cy="473675"/>
    <xdr:pic>
      <xdr:nvPicPr>
        <xdr:cNvPr id="7" name="図 6">
          <a:hlinkClick xmlns:r="http://schemas.openxmlformats.org/officeDocument/2006/relationships" r:id="rId11"/>
          <a:extLst>
            <a:ext uri="{FF2B5EF4-FFF2-40B4-BE49-F238E27FC236}">
              <a16:creationId xmlns:a16="http://schemas.microsoft.com/office/drawing/2014/main" id="{BA8553C6-E0BF-4EDE-9EC6-0AC4116E5428}"/>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349923" y="2933699"/>
          <a:ext cx="381000" cy="473675"/>
        </a:xfrm>
        <a:prstGeom prst="rect">
          <a:avLst/>
        </a:prstGeom>
      </xdr:spPr>
    </xdr:pic>
    <xdr:clientData/>
  </xdr:oneCellAnchor>
  <xdr:oneCellAnchor>
    <xdr:from>
      <xdr:col>1</xdr:col>
      <xdr:colOff>121197</xdr:colOff>
      <xdr:row>6</xdr:row>
      <xdr:rowOff>9526</xdr:rowOff>
    </xdr:from>
    <xdr:ext cx="438150" cy="493690"/>
    <xdr:pic>
      <xdr:nvPicPr>
        <xdr:cNvPr id="8" name="図 7">
          <a:hlinkClick xmlns:r="http://schemas.openxmlformats.org/officeDocument/2006/relationships" r:id="rId13"/>
          <a:extLst>
            <a:ext uri="{FF2B5EF4-FFF2-40B4-BE49-F238E27FC236}">
              <a16:creationId xmlns:a16="http://schemas.microsoft.com/office/drawing/2014/main" id="{60F88B48-06B0-42DB-B0B7-7430458E4A0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40397" y="2419351"/>
          <a:ext cx="438150" cy="493690"/>
        </a:xfrm>
        <a:prstGeom prst="rect">
          <a:avLst/>
        </a:prstGeom>
      </xdr:spPr>
    </xdr:pic>
    <xdr:clientData/>
  </xdr:oneCellAnchor>
  <xdr:oneCellAnchor>
    <xdr:from>
      <xdr:col>1</xdr:col>
      <xdr:colOff>177362</xdr:colOff>
      <xdr:row>9</xdr:row>
      <xdr:rowOff>39412</xdr:rowOff>
    </xdr:from>
    <xdr:ext cx="361291" cy="461871"/>
    <xdr:pic>
      <xdr:nvPicPr>
        <xdr:cNvPr id="9" name="図 8">
          <a:hlinkClick xmlns:r="http://schemas.openxmlformats.org/officeDocument/2006/relationships" r:id="rId15"/>
          <a:extLst>
            <a:ext uri="{FF2B5EF4-FFF2-40B4-BE49-F238E27FC236}">
              <a16:creationId xmlns:a16="http://schemas.microsoft.com/office/drawing/2014/main" id="{1AB41CE9-E9C1-4BB5-BAD4-E9DF12254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396562" y="3963712"/>
          <a:ext cx="361291" cy="461871"/>
        </a:xfrm>
        <a:prstGeom prst="rect">
          <a:avLst/>
        </a:prstGeom>
      </xdr:spPr>
    </xdr:pic>
    <xdr:clientData/>
  </xdr:oneCellAnchor>
  <xdr:oneCellAnchor>
    <xdr:from>
      <xdr:col>1</xdr:col>
      <xdr:colOff>179897</xdr:colOff>
      <xdr:row>11</xdr:row>
      <xdr:rowOff>13138</xdr:rowOff>
    </xdr:from>
    <xdr:ext cx="332481" cy="491789"/>
    <xdr:pic>
      <xdr:nvPicPr>
        <xdr:cNvPr id="10" name="図 9">
          <a:hlinkClick xmlns:r="http://schemas.openxmlformats.org/officeDocument/2006/relationships" r:id="rId17"/>
          <a:extLst>
            <a:ext uri="{FF2B5EF4-FFF2-40B4-BE49-F238E27FC236}">
              <a16:creationId xmlns:a16="http://schemas.microsoft.com/office/drawing/2014/main" id="{D249E0F4-7DEB-4AB5-9DF4-A131D7F5C44A}"/>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399097" y="4947088"/>
          <a:ext cx="332481" cy="491789"/>
        </a:xfrm>
        <a:prstGeom prst="rect">
          <a:avLst/>
        </a:prstGeom>
      </xdr:spPr>
    </xdr:pic>
    <xdr:clientData/>
  </xdr:oneCellAnchor>
  <xdr:twoCellAnchor editAs="oneCell">
    <xdr:from>
      <xdr:col>0</xdr:col>
      <xdr:colOff>661146</xdr:colOff>
      <xdr:row>0</xdr:row>
      <xdr:rowOff>168090</xdr:rowOff>
    </xdr:from>
    <xdr:to>
      <xdr:col>3</xdr:col>
      <xdr:colOff>1199028</xdr:colOff>
      <xdr:row>0</xdr:row>
      <xdr:rowOff>863694</xdr:rowOff>
    </xdr:to>
    <xdr:pic>
      <xdr:nvPicPr>
        <xdr:cNvPr id="11" name="図 10">
          <a:extLst>
            <a:ext uri="{FF2B5EF4-FFF2-40B4-BE49-F238E27FC236}">
              <a16:creationId xmlns:a16="http://schemas.microsoft.com/office/drawing/2014/main" id="{36B7E881-8EB3-4220-B5BC-BE41752BDB7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661146" y="168090"/>
          <a:ext cx="3821206" cy="695604"/>
        </a:xfrm>
        <a:prstGeom prst="rect">
          <a:avLst/>
        </a:prstGeom>
      </xdr:spPr>
    </xdr:pic>
    <xdr:clientData/>
  </xdr:twoCellAnchor>
  <xdr:oneCellAnchor>
    <xdr:from>
      <xdr:col>3</xdr:col>
      <xdr:colOff>1108981</xdr:colOff>
      <xdr:row>0</xdr:row>
      <xdr:rowOff>248569</xdr:rowOff>
    </xdr:from>
    <xdr:ext cx="6432978" cy="779059"/>
    <xdr:sp macro="" textlink="">
      <xdr:nvSpPr>
        <xdr:cNvPr id="12" name="正方形/長方形 11">
          <a:extLst>
            <a:ext uri="{FF2B5EF4-FFF2-40B4-BE49-F238E27FC236}">
              <a16:creationId xmlns:a16="http://schemas.microsoft.com/office/drawing/2014/main" id="{0F0CE84D-E545-FD26-BFBB-7EC62885FC9B}"/>
            </a:ext>
          </a:extLst>
        </xdr:cNvPr>
        <xdr:cNvSpPr/>
      </xdr:nvSpPr>
      <xdr:spPr>
        <a:xfrm>
          <a:off x="4392305" y="248569"/>
          <a:ext cx="6432978" cy="779059"/>
        </a:xfrm>
        <a:prstGeom prst="rect">
          <a:avLst/>
        </a:prstGeom>
        <a:noFill/>
      </xdr:spPr>
      <xdr:txBody>
        <a:bodyPr wrap="none" lIns="91440" tIns="45720" rIns="91440" bIns="45720">
          <a:spAutoFit/>
        </a:bodyPr>
        <a:lstStyle/>
        <a:p>
          <a:pPr algn="ctr"/>
          <a:r>
            <a:rPr lang="ja-JP" altLang="en-US" sz="3200" b="1" cap="none" spc="0">
              <a:ln w="9525">
                <a:solidFill>
                  <a:schemeClr val="bg1"/>
                </a:solidFill>
                <a:prstDash val="solid"/>
              </a:ln>
              <a:solidFill>
                <a:srgbClr val="20BA7C"/>
              </a:solidFill>
              <a:effectLst>
                <a:outerShdw blurRad="12700" dist="25400" dir="2700000" algn="tl" rotWithShape="0">
                  <a:schemeClr val="accent5">
                    <a:lumMod val="60000"/>
                    <a:lumOff val="40000"/>
                  </a:schemeClr>
                </a:outerShdw>
              </a:effectLst>
            </a:rPr>
            <a:t>気化式大型冷風機 スペック比較表</a:t>
          </a:r>
        </a:p>
      </xdr:txBody>
    </xdr:sp>
    <xdr:clientData/>
  </xdr:oneCellAnchor>
  <xdr:twoCellAnchor editAs="oneCell">
    <xdr:from>
      <xdr:col>17</xdr:col>
      <xdr:colOff>89648</xdr:colOff>
      <xdr:row>3</xdr:row>
      <xdr:rowOff>481853</xdr:rowOff>
    </xdr:from>
    <xdr:to>
      <xdr:col>18</xdr:col>
      <xdr:colOff>4955</xdr:colOff>
      <xdr:row>4</xdr:row>
      <xdr:rowOff>486807</xdr:rowOff>
    </xdr:to>
    <xdr:pic>
      <xdr:nvPicPr>
        <xdr:cNvPr id="16" name="グラフィックス 15" descr="受話器 単色塗りつぶし">
          <a:extLst>
            <a:ext uri="{FF2B5EF4-FFF2-40B4-BE49-F238E27FC236}">
              <a16:creationId xmlns:a16="http://schemas.microsoft.com/office/drawing/2014/main" id="{CED4AA13-7F35-F611-7729-E16D584061C5}"/>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11878236" y="2218765"/>
          <a:ext cx="509219" cy="509219"/>
        </a:xfrm>
        <a:prstGeom prst="rect">
          <a:avLst/>
        </a:prstGeom>
      </xdr:spPr>
    </xdr:pic>
    <xdr:clientData/>
  </xdr:twoCellAnchor>
  <xdr:twoCellAnchor editAs="oneCell">
    <xdr:from>
      <xdr:col>17</xdr:col>
      <xdr:colOff>112061</xdr:colOff>
      <xdr:row>5</xdr:row>
      <xdr:rowOff>33620</xdr:rowOff>
    </xdr:from>
    <xdr:to>
      <xdr:col>17</xdr:col>
      <xdr:colOff>571501</xdr:colOff>
      <xdr:row>5</xdr:row>
      <xdr:rowOff>493060</xdr:rowOff>
    </xdr:to>
    <xdr:pic>
      <xdr:nvPicPr>
        <xdr:cNvPr id="18" name="グラフィックス 17" descr="封筒 単色塗りつぶし">
          <a:extLst>
            <a:ext uri="{FF2B5EF4-FFF2-40B4-BE49-F238E27FC236}">
              <a16:creationId xmlns:a16="http://schemas.microsoft.com/office/drawing/2014/main" id="{EA51A71D-60DC-13B9-8756-0AC233ED227B}"/>
            </a:ext>
          </a:extLst>
        </xdr:cNvPr>
        <xdr:cNvPicPr>
          <a:picLocks noChangeAspect="1"/>
        </xdr:cNvPicPr>
      </xdr:nvPicPr>
      <xdr:blipFill>
        <a:blip xmlns:r="http://schemas.openxmlformats.org/officeDocument/2006/relationships" r:embed="rId22">
          <a:extLst>
            <a:ext uri="{96DAC541-7B7A-43D3-8B79-37D633B846F1}">
              <asvg:svgBlip xmlns:asvg="http://schemas.microsoft.com/office/drawing/2016/SVG/main" r:embed="rId23"/>
            </a:ext>
          </a:extLst>
        </a:blip>
        <a:stretch>
          <a:fillRect/>
        </a:stretch>
      </xdr:blipFill>
      <xdr:spPr>
        <a:xfrm>
          <a:off x="11900649" y="2779061"/>
          <a:ext cx="459440" cy="4594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2500540</xdr:colOff>
      <xdr:row>2</xdr:row>
      <xdr:rowOff>0</xdr:rowOff>
    </xdr:to>
    <xdr:pic>
      <xdr:nvPicPr>
        <xdr:cNvPr id="2" name="販売店">
          <a:extLst>
            <a:ext uri="{FF2B5EF4-FFF2-40B4-BE49-F238E27FC236}">
              <a16:creationId xmlns:a16="http://schemas.microsoft.com/office/drawing/2014/main" id="{5B245107-810E-4763-AC68-F04A873E7858}"/>
            </a:ext>
          </a:extLst>
        </xdr:cNvPr>
        <xdr:cNvPicPr>
          <a:picLocks noChangeAspect="1"/>
        </xdr:cNvPicPr>
      </xdr:nvPicPr>
      <xdr:blipFill>
        <a:blip xmlns:r="http://schemas.openxmlformats.org/officeDocument/2006/relationships" r:embed="rId1"/>
        <a:stretch>
          <a:fillRect/>
        </a:stretch>
      </xdr:blipFill>
      <xdr:spPr>
        <a:xfrm>
          <a:off x="0" y="0"/>
          <a:ext cx="2500540" cy="31605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230\&#21942;&#26989;&#20849;&#26377;\&#9733;&#27700;&#20869;&#23554;&#29992;&#12501;&#12457;&#12523;&#12480;\&#12304;&#12524;&#12452;&#12450;&#12454;&#12488;&#12399;OK&#12305;&#24517;&#35201;&#25563;&#27671;&#37327;&#35336;&#31639;&#12471;&#12540;&#12488;%20&#8251;&#12414;&#12371;&#12426;&#12435;MION&#36861;&#21152;&#32232;&#38598;&#20013;.xlsm" TargetMode="External"/><Relationship Id="rId1" Type="http://schemas.openxmlformats.org/officeDocument/2006/relationships/externalLinkPath" Target="file:///\\192.168.11.230\&#21942;&#26989;&#20849;&#26377;\&#9733;&#27700;&#20869;&#23554;&#29992;&#12501;&#12457;&#12523;&#12480;\&#12304;&#12524;&#12452;&#12450;&#12454;&#12488;&#12399;OK&#12305;&#24517;&#35201;&#25563;&#27671;&#37327;&#35336;&#31639;&#12471;&#12540;&#12488;%20&#8251;&#12414;&#12371;&#12426;&#12435;MION&#36861;&#21152;&#32232;&#38598;&#2001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3"/>
      <sheetName val="Sheet2"/>
    </sheetNames>
    <sheetDataSet>
      <sheetData sheetId="0">
        <row r="23">
          <cell r="L23" t="str">
            <v>非表示</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earthblower.com"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info@earthblower.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2D89-4E9E-4E9B-895D-03647016F420}">
  <sheetPr codeName="Sheet1"/>
  <dimension ref="A1:AO39"/>
  <sheetViews>
    <sheetView showGridLines="0" tabSelected="1" zoomScale="70" zoomScaleNormal="70" workbookViewId="0">
      <pane ySplit="4" topLeftCell="A5" activePane="bottomLeft" state="frozen"/>
      <selection pane="bottomLeft" activeCell="A9" sqref="A9"/>
    </sheetView>
  </sheetViews>
  <sheetFormatPr defaultRowHeight="18.75" outlineLevelCol="1"/>
  <cols>
    <col min="2" max="2" width="17.375" customWidth="1"/>
    <col min="3" max="3" width="10.875" bestFit="1" customWidth="1"/>
    <col min="5" max="5" width="12.875" customWidth="1"/>
    <col min="6" max="6" width="12.625" customWidth="1"/>
    <col min="9" max="9" width="3.625" customWidth="1"/>
    <col min="10" max="10" width="9" customWidth="1"/>
    <col min="11" max="11" width="29.75" customWidth="1"/>
    <col min="13" max="13" width="6.125" customWidth="1"/>
    <col min="15" max="15" width="16" customWidth="1"/>
    <col min="16" max="16" width="7.125" customWidth="1"/>
    <col min="17" max="17" width="3.625" customWidth="1"/>
    <col min="18" max="18" width="11" hidden="1" customWidth="1" outlineLevel="1"/>
    <col min="19" max="19" width="36.5" hidden="1" customWidth="1" outlineLevel="1"/>
    <col min="20" max="20" width="9" hidden="1" customWidth="1" outlineLevel="1"/>
    <col min="21" max="21" width="12.5" hidden="1" customWidth="1" outlineLevel="1"/>
    <col min="22" max="22" width="15.375" hidden="1" customWidth="1" outlineLevel="1"/>
    <col min="23" max="23" width="11.25" hidden="1" customWidth="1" outlineLevel="1"/>
    <col min="24" max="24" width="13.875" hidden="1" customWidth="1" outlineLevel="1"/>
    <col min="25" max="25" width="10.75" hidden="1" customWidth="1" outlineLevel="1"/>
    <col min="26" max="26" width="9" hidden="1" customWidth="1" outlineLevel="1"/>
    <col min="27" max="27" width="12.25" hidden="1" customWidth="1" outlineLevel="1"/>
    <col min="28" max="28" width="8.875" hidden="1" customWidth="1" outlineLevel="1"/>
    <col min="29" max="29" width="11" hidden="1" customWidth="1" outlineLevel="1"/>
    <col min="30" max="30" width="4.125" hidden="1" customWidth="1" outlineLevel="1"/>
    <col min="31" max="31" width="9" hidden="1" customWidth="1" outlineLevel="1"/>
    <col min="32" max="32" width="3.625" hidden="1" customWidth="1" outlineLevel="1"/>
    <col min="33" max="33" width="11.5" hidden="1" customWidth="1" outlineLevel="1"/>
    <col min="34" max="34" width="14.25" hidden="1" customWidth="1" outlineLevel="1"/>
    <col min="35" max="35" width="12.375" hidden="1" customWidth="1" outlineLevel="1"/>
    <col min="36" max="38" width="19.25" hidden="1" customWidth="1" outlineLevel="1"/>
    <col min="39" max="40" width="9" hidden="1" customWidth="1" outlineLevel="1"/>
    <col min="41" max="41" width="16.625" customWidth="1" collapsed="1"/>
  </cols>
  <sheetData>
    <row r="1" spans="1:41" ht="25.5" customHeight="1" thickBot="1">
      <c r="A1" s="60"/>
      <c r="B1" s="61"/>
      <c r="C1" s="61"/>
      <c r="D1" s="61"/>
      <c r="E1" s="61"/>
      <c r="F1" s="61"/>
      <c r="G1" s="61"/>
      <c r="H1" s="61"/>
      <c r="J1" s="49"/>
      <c r="K1" s="50" t="s">
        <v>47</v>
      </c>
      <c r="L1" s="51" t="s">
        <v>36</v>
      </c>
      <c r="M1" s="49"/>
      <c r="N1" s="49"/>
      <c r="O1" s="52" t="s">
        <v>37</v>
      </c>
      <c r="P1" s="49"/>
      <c r="R1" t="s">
        <v>51</v>
      </c>
      <c r="AO1" s="48"/>
    </row>
    <row r="2" spans="1:41" ht="25.5" customHeight="1">
      <c r="A2" s="60"/>
      <c r="B2" s="61"/>
      <c r="C2" s="61"/>
      <c r="D2" s="61"/>
      <c r="E2" s="61"/>
      <c r="F2" s="61"/>
      <c r="G2" s="61"/>
      <c r="H2" s="61"/>
      <c r="J2" s="53" t="s">
        <v>48</v>
      </c>
      <c r="K2" s="49"/>
      <c r="L2" s="49"/>
      <c r="M2" s="49"/>
      <c r="N2" s="49"/>
      <c r="O2" s="49"/>
      <c r="P2" s="50" t="s">
        <v>49</v>
      </c>
      <c r="R2" s="13"/>
      <c r="S2" s="57" t="s">
        <v>31</v>
      </c>
      <c r="T2" s="14" t="s">
        <v>13</v>
      </c>
      <c r="U2" s="15"/>
      <c r="V2" s="12" t="s">
        <v>21</v>
      </c>
      <c r="W2" s="3" t="s">
        <v>12</v>
      </c>
      <c r="X2" s="58" t="s">
        <v>22</v>
      </c>
      <c r="Y2" s="3" t="s">
        <v>23</v>
      </c>
      <c r="Z2" s="1">
        <v>1</v>
      </c>
      <c r="AA2" s="3" t="s">
        <v>20</v>
      </c>
      <c r="AB2" s="1" t="s">
        <v>24</v>
      </c>
      <c r="AC2" s="167" t="s">
        <v>30</v>
      </c>
      <c r="AD2" s="167"/>
      <c r="AE2" s="167"/>
      <c r="AF2" s="167"/>
      <c r="AG2" s="167"/>
      <c r="AH2" s="17" t="s">
        <v>28</v>
      </c>
      <c r="AI2" s="21" t="s">
        <v>29</v>
      </c>
      <c r="AJ2" s="28" t="s">
        <v>25</v>
      </c>
      <c r="AK2" s="19" t="s">
        <v>121</v>
      </c>
      <c r="AL2" s="29" t="s">
        <v>26</v>
      </c>
      <c r="AM2" s="45" t="s">
        <v>27</v>
      </c>
      <c r="AN2" s="46" t="s">
        <v>32</v>
      </c>
    </row>
    <row r="3" spans="1:41" ht="25.5" customHeight="1">
      <c r="A3" s="62" t="s">
        <v>55</v>
      </c>
      <c r="J3" s="178" t="s">
        <v>11</v>
      </c>
      <c r="K3" s="178"/>
      <c r="L3" s="178"/>
      <c r="M3" s="178"/>
      <c r="N3" s="178"/>
      <c r="O3" s="178"/>
      <c r="P3" s="178"/>
      <c r="R3" s="22" t="s">
        <v>14</v>
      </c>
      <c r="S3" s="10">
        <v>1030400</v>
      </c>
      <c r="T3" s="23">
        <v>38000</v>
      </c>
      <c r="U3" s="24" t="s">
        <v>14</v>
      </c>
      <c r="V3" s="2">
        <f t="shared" ref="V3:V11" si="0">ROUNDDOWN($B$29/T3,0)</f>
        <v>0</v>
      </c>
      <c r="W3" s="3">
        <f t="shared" ref="W3:W11" si="1">$B$29-T3*V3</f>
        <v>0</v>
      </c>
      <c r="X3" s="1" t="str" cm="1">
        <f t="array" ref="X3">IF(W3=0,"",MIN(IF($T$3:$T$11&gt;=W3,$T$3:$T$11,"")))</f>
        <v/>
      </c>
      <c r="Y3" s="3" t="str">
        <f>IF(W3=0,"",VLOOKUP(X3,$T$3:$U$11,2,FALSE))</f>
        <v/>
      </c>
      <c r="Z3" s="1" t="str">
        <f>IF(W3=0,"",1)</f>
        <v/>
      </c>
      <c r="AA3" s="3">
        <f>IF(X3="",T3*V3,T3*V3+X3)</f>
        <v>0</v>
      </c>
      <c r="AB3" s="1">
        <f>IF(X3="",V3,V3+Z3)</f>
        <v>0</v>
      </c>
      <c r="AC3" s="18" t="str">
        <f>IF(V3=0,Y3,R3)</f>
        <v/>
      </c>
      <c r="AD3" s="3" t="str">
        <f>IF(V3=0,Z3,IF(U3=Y3,V3+Z3,V3))</f>
        <v/>
      </c>
      <c r="AE3" s="3" t="str">
        <f>IF(V3=0,"",(IF(U3=Y3,"",Y3)))</f>
        <v/>
      </c>
      <c r="AF3" s="3" t="str">
        <f>IF(V3=0,"",(IF(U3=Y3,"",Z3)))</f>
        <v/>
      </c>
      <c r="AG3" s="18" t="e">
        <f>IF(AE3="",AD3*VLOOKUP(AC3,$R$3:$S$11,2,FALSE),AD3*VLOOKUP(AC3,$R$3:$S$11,2,FALSE)+AF3*VLOOKUP(AE3,$R$3:$S$11,2,FALSE))</f>
        <v>#VALUE!</v>
      </c>
      <c r="AH3" s="11" t="str">
        <f>AC3&amp;AD3&amp;AE3&amp;AF3</f>
        <v/>
      </c>
      <c r="AI3" s="18" t="str">
        <f>AH3</f>
        <v/>
      </c>
      <c r="AJ3" s="30" t="str">
        <f>IF(AI3="","",RANK(AB3,$AB$3:$AB$11,1))</f>
        <v/>
      </c>
      <c r="AK3" s="20" t="str">
        <f>IF(AI3="","",RANK(AA3,$AA$3:$AA$11))</f>
        <v/>
      </c>
      <c r="AL3" s="31" t="str">
        <f>IF(AI3="","",RANK(AG3,$AG$3:$AG$11,1))</f>
        <v/>
      </c>
      <c r="AM3" s="32" t="str">
        <f>IF(AJ3="","",AJ3+AK3/10+AL3/100)</f>
        <v/>
      </c>
      <c r="AN3" s="35" t="str">
        <f>IF(AM3="","",1)</f>
        <v/>
      </c>
    </row>
    <row r="4" spans="1:41" ht="25.5" customHeight="1">
      <c r="A4" s="62" t="s">
        <v>56</v>
      </c>
      <c r="J4" s="8"/>
      <c r="K4" s="8"/>
      <c r="L4" s="9"/>
      <c r="M4" s="9"/>
      <c r="O4" s="9"/>
      <c r="P4" s="9"/>
      <c r="R4" s="22" t="s">
        <v>15</v>
      </c>
      <c r="S4" s="10">
        <v>968000</v>
      </c>
      <c r="T4" s="23">
        <v>30000</v>
      </c>
      <c r="U4" s="24" t="s">
        <v>15</v>
      </c>
      <c r="V4" s="2">
        <f t="shared" si="0"/>
        <v>0</v>
      </c>
      <c r="W4" s="3">
        <f t="shared" si="1"/>
        <v>0</v>
      </c>
      <c r="X4" s="1" t="str" cm="1">
        <f t="array" ref="X4">IF(W4=0,"",MIN(IF($T$3:$T$11&gt;=W4,$T$3:$T$11,"")))</f>
        <v/>
      </c>
      <c r="Y4" s="3" t="str">
        <f t="shared" ref="Y4:Y11" si="2">IF(W4=0,"",VLOOKUP(X4,$T$3:$U$11,2,FALSE))</f>
        <v/>
      </c>
      <c r="Z4" s="1" t="str">
        <f t="shared" ref="Z4:Z11" si="3">IF(W4=0,"",1)</f>
        <v/>
      </c>
      <c r="AA4" s="3">
        <f t="shared" ref="AA4:AA11" si="4">IF(X4="",T4*V4,T4*V4+X4)</f>
        <v>0</v>
      </c>
      <c r="AB4" s="1">
        <f t="shared" ref="AB4:AB11" si="5">IF(X4="",V4,V4+Z4)</f>
        <v>0</v>
      </c>
      <c r="AC4" s="18" t="str">
        <f>IF(V4=0,Y4,R4)</f>
        <v/>
      </c>
      <c r="AD4" s="3" t="str">
        <f t="shared" ref="AD4:AD11" si="6">IF(V4=0,Z4,IF(U4=Y4,V4+Z4,V4))</f>
        <v/>
      </c>
      <c r="AE4" s="3" t="str">
        <f t="shared" ref="AE4:AE11" si="7">IF(V4=0,"",(IF(U4=Y4,"",Y4)))</f>
        <v/>
      </c>
      <c r="AF4" s="3" t="str">
        <f t="shared" ref="AF4:AF11" si="8">IF(V4=0,"",(IF(U4=Y4,"",Z4)))</f>
        <v/>
      </c>
      <c r="AG4" s="18" t="e">
        <f t="shared" ref="AG4:AG11" si="9">IF(AE4="",AD4*VLOOKUP(AC4,$R$3:$S$11,2,FALSE),AD4*VLOOKUP(AC4,$R$3:$S$11,2,FALSE)+AF4*VLOOKUP(AE4,$R$3:$S$11,2,FALSE))</f>
        <v>#VALUE!</v>
      </c>
      <c r="AH4" s="11" t="str">
        <f>AC4&amp;AD4&amp;AE4&amp;AF4</f>
        <v/>
      </c>
      <c r="AI4" s="18" t="str">
        <f>IF(AH4=AI3,"",AH4)</f>
        <v/>
      </c>
      <c r="AJ4" s="30" t="str">
        <f t="shared" ref="AJ4:AJ11" si="10">IF(AI4="","",RANK(AB4,$AB$3:$AB$11,1))</f>
        <v/>
      </c>
      <c r="AK4" s="20" t="str">
        <f>IF(AI4="","",RANK(AA4,$AA$3:$AA$11))</f>
        <v/>
      </c>
      <c r="AL4" s="31" t="str">
        <f t="shared" ref="AL4:AL10" si="11">IF(AI4="","",RANK(AG4,$AG$3:$AG$11,1))</f>
        <v/>
      </c>
      <c r="AM4" s="32" t="str">
        <f>IF(AJ4="","",AJ4+AK4/10+AL4/100)</f>
        <v/>
      </c>
      <c r="AN4" s="35" t="str">
        <f t="shared" ref="AN4:AN10" si="12">IF(AM4="","",1)</f>
        <v/>
      </c>
    </row>
    <row r="5" spans="1:41" ht="25.5" customHeight="1">
      <c r="A5" s="59" t="s">
        <v>6</v>
      </c>
      <c r="I5" s="162"/>
      <c r="J5" s="158" t="b">
        <f>IF(A11="✓",IF(SUM(AN3:AN11)&lt;=1,"","パターン①"),IF(A10="✓",IF(SUM(AN15:AN19)&lt;=1,"","パターン①"),IF(A9="✓",IF(SUM(AN23:AN26)&lt;=1,"","パターン①"))))</f>
        <v>0</v>
      </c>
      <c r="K5" s="9"/>
      <c r="R5" s="22" t="s">
        <v>18</v>
      </c>
      <c r="S5" s="10">
        <v>784400</v>
      </c>
      <c r="T5" s="23">
        <v>27800</v>
      </c>
      <c r="U5" s="24" t="s">
        <v>18</v>
      </c>
      <c r="V5" s="2">
        <f t="shared" si="0"/>
        <v>0</v>
      </c>
      <c r="W5" s="3">
        <f t="shared" si="1"/>
        <v>0</v>
      </c>
      <c r="X5" s="1" t="str" cm="1">
        <f t="array" ref="X5">IF(W5=0,"",MIN(IF($T$3:$T$11&gt;=W5,$T$3:$T$11,"")))</f>
        <v/>
      </c>
      <c r="Y5" s="3" t="str">
        <f t="shared" si="2"/>
        <v/>
      </c>
      <c r="Z5" s="1" t="str">
        <f t="shared" si="3"/>
        <v/>
      </c>
      <c r="AA5" s="3">
        <f t="shared" si="4"/>
        <v>0</v>
      </c>
      <c r="AB5" s="1">
        <f t="shared" si="5"/>
        <v>0</v>
      </c>
      <c r="AC5" s="18" t="str">
        <f t="shared" ref="AC5:AC11" si="13">IF(V5=0,Y5,R5)</f>
        <v/>
      </c>
      <c r="AD5" s="3" t="str">
        <f t="shared" si="6"/>
        <v/>
      </c>
      <c r="AE5" s="3" t="str">
        <f t="shared" si="7"/>
        <v/>
      </c>
      <c r="AF5" s="3" t="str">
        <f t="shared" si="8"/>
        <v/>
      </c>
      <c r="AG5" s="18" t="e">
        <f t="shared" si="9"/>
        <v>#VALUE!</v>
      </c>
      <c r="AH5" s="11" t="str">
        <f t="shared" ref="AH5:AH11" si="14">AC5&amp;AD5&amp;AE5&amp;AF5</f>
        <v/>
      </c>
      <c r="AI5" s="18" t="str">
        <f>IF(OR(AH5=AI3,AH5=AI4),"",AH5)</f>
        <v/>
      </c>
      <c r="AJ5" s="30" t="str">
        <f t="shared" si="10"/>
        <v/>
      </c>
      <c r="AK5" s="20" t="str">
        <f t="shared" ref="AK5:AK11" si="15">IF(AI5="","",RANK(AA5,$AA$3:$AA$11))</f>
        <v/>
      </c>
      <c r="AL5" s="31" t="str">
        <f t="shared" si="11"/>
        <v/>
      </c>
      <c r="AM5" s="32" t="str">
        <f t="shared" ref="AM5:AM10" si="16">IF(AJ5="","",AJ5+AK5/10+AL5/100)</f>
        <v/>
      </c>
      <c r="AN5" s="35" t="str">
        <f t="shared" si="12"/>
        <v/>
      </c>
    </row>
    <row r="6" spans="1:41" ht="25.5" customHeight="1">
      <c r="A6" s="4" t="s">
        <v>5</v>
      </c>
      <c r="J6" s="169" t="s">
        <v>9</v>
      </c>
      <c r="K6" s="169"/>
      <c r="L6" s="169"/>
      <c r="M6" s="169"/>
      <c r="O6" s="169" t="s">
        <v>8</v>
      </c>
      <c r="P6" s="169"/>
      <c r="R6" s="22" t="s">
        <v>19</v>
      </c>
      <c r="S6" s="10">
        <v>701400</v>
      </c>
      <c r="T6" s="23">
        <v>27700</v>
      </c>
      <c r="U6" s="24" t="s">
        <v>19</v>
      </c>
      <c r="V6" s="2">
        <f t="shared" si="0"/>
        <v>0</v>
      </c>
      <c r="W6" s="3">
        <f t="shared" si="1"/>
        <v>0</v>
      </c>
      <c r="X6" s="1" t="str" cm="1">
        <f t="array" ref="X6">IF(W6=0,"",MIN(IF($T$3:$T$11&gt;=W6,$T$3:$T$11,"")))</f>
        <v/>
      </c>
      <c r="Y6" s="3" t="str">
        <f t="shared" si="2"/>
        <v/>
      </c>
      <c r="Z6" s="1" t="str">
        <f t="shared" si="3"/>
        <v/>
      </c>
      <c r="AA6" s="3">
        <f t="shared" si="4"/>
        <v>0</v>
      </c>
      <c r="AB6" s="1">
        <f t="shared" si="5"/>
        <v>0</v>
      </c>
      <c r="AC6" s="18" t="str">
        <f>IF(V6=0,Y6,R6)</f>
        <v/>
      </c>
      <c r="AD6" s="3" t="str">
        <f t="shared" si="6"/>
        <v/>
      </c>
      <c r="AE6" s="3" t="str">
        <f t="shared" si="7"/>
        <v/>
      </c>
      <c r="AF6" s="3" t="str">
        <f t="shared" si="8"/>
        <v/>
      </c>
      <c r="AG6" s="18" t="e">
        <f t="shared" si="9"/>
        <v>#VALUE!</v>
      </c>
      <c r="AH6" s="11" t="str">
        <f t="shared" si="14"/>
        <v/>
      </c>
      <c r="AI6" s="18" t="str">
        <f>IF(OR(AH6=AI3,AH6=AI4,AH6=AI5),"",AH6)</f>
        <v/>
      </c>
      <c r="AJ6" s="30" t="str">
        <f t="shared" si="10"/>
        <v/>
      </c>
      <c r="AK6" s="20" t="str">
        <f t="shared" si="15"/>
        <v/>
      </c>
      <c r="AL6" s="31" t="str">
        <f t="shared" si="11"/>
        <v/>
      </c>
      <c r="AM6" s="32" t="str">
        <f t="shared" si="16"/>
        <v/>
      </c>
      <c r="AN6" s="35" t="str">
        <f t="shared" si="12"/>
        <v/>
      </c>
    </row>
    <row r="7" spans="1:41" ht="25.5" customHeight="1">
      <c r="J7" s="176" t="b">
        <f>IF(A11="✓",INDEX(AC3:AC11,MATCH(MIN(AM3:AM11),AM3:AM11,0)),IF(A10="✓",INDEX(AC15:AC19,MATCH(MIN(AM15:AM19),AM15:AM19,0)),IF(A9="✓",INDEX(AC23:AC26,MATCH(MIN(AM23:AM26),AM23:AM26,0)))))</f>
        <v>0</v>
      </c>
      <c r="K7" s="177"/>
      <c r="L7" s="6" t="b">
        <f>IF(A11="✓",INDEX(AD3:AD11,MATCH(MIN(AM3:AM11),AM3:AM11,0)),IF(A10="✓",INDEX(AD15:AD19,MATCH(MIN(AM15:AM19),AM15:AM19,0)),IF(A9="✓",INDEX(AD23:AD26,MATCH(MIN(AM23:AM26),AM23:AM26,0)))))</f>
        <v>0</v>
      </c>
      <c r="M7" s="7" t="s">
        <v>1</v>
      </c>
      <c r="O7" s="172" t="b">
        <f>IF(A11="✓",INDEX(AA3:AA11,MATCH(MIN(AM3:AM11),AM3:AM11,0)),IF(A10="✓",INDEX(AA15:AA19,MATCH(MIN(AM15:AM19),AM15:AM19,0)),IF(A9="✓",INDEX(AA23:AA26,MATCH(MIN(AM23:AM26),AM23:AM26,0)))))</f>
        <v>0</v>
      </c>
      <c r="P7" s="170" t="s">
        <v>0</v>
      </c>
      <c r="R7" s="22" t="s">
        <v>16</v>
      </c>
      <c r="S7" s="10">
        <v>863000</v>
      </c>
      <c r="T7" s="23">
        <v>26000</v>
      </c>
      <c r="U7" s="24" t="s">
        <v>16</v>
      </c>
      <c r="V7" s="2">
        <f t="shared" si="0"/>
        <v>0</v>
      </c>
      <c r="W7" s="3">
        <f t="shared" si="1"/>
        <v>0</v>
      </c>
      <c r="X7" s="1" t="str" cm="1">
        <f t="array" ref="X7">IF(W7=0,"",MIN(IF($T$3:$T$11&gt;=W7,$T$3:$T$11,"")))</f>
        <v/>
      </c>
      <c r="Y7" s="3" t="str">
        <f t="shared" si="2"/>
        <v/>
      </c>
      <c r="Z7" s="1" t="str">
        <f t="shared" si="3"/>
        <v/>
      </c>
      <c r="AA7" s="3">
        <f t="shared" si="4"/>
        <v>0</v>
      </c>
      <c r="AB7" s="1">
        <f t="shared" si="5"/>
        <v>0</v>
      </c>
      <c r="AC7" s="18" t="str">
        <f t="shared" si="13"/>
        <v/>
      </c>
      <c r="AD7" s="3" t="str">
        <f t="shared" si="6"/>
        <v/>
      </c>
      <c r="AE7" s="3" t="str">
        <f t="shared" si="7"/>
        <v/>
      </c>
      <c r="AF7" s="3" t="str">
        <f t="shared" si="8"/>
        <v/>
      </c>
      <c r="AG7" s="18" t="e">
        <f t="shared" si="9"/>
        <v>#VALUE!</v>
      </c>
      <c r="AH7" s="11" t="str">
        <f t="shared" si="14"/>
        <v/>
      </c>
      <c r="AI7" s="18" t="str">
        <f>IF(OR(AH7=AI3,AH7=AI4,AH7=AI5,AH7=AI6),"",AH7)</f>
        <v/>
      </c>
      <c r="AJ7" s="30" t="str">
        <f t="shared" si="10"/>
        <v/>
      </c>
      <c r="AK7" s="20" t="str">
        <f t="shared" si="15"/>
        <v/>
      </c>
      <c r="AL7" s="31" t="str">
        <f t="shared" si="11"/>
        <v/>
      </c>
      <c r="AM7" s="32" t="str">
        <f t="shared" si="16"/>
        <v/>
      </c>
      <c r="AN7" s="35" t="str">
        <f t="shared" si="12"/>
        <v/>
      </c>
    </row>
    <row r="8" spans="1:41" ht="25.5" customHeight="1" thickBot="1">
      <c r="A8" s="40" t="s">
        <v>2</v>
      </c>
      <c r="E8" s="5" t="str">
        <f>IF(COUNTA(A9:A11)&gt;1,"※1つだけ選択してください","")</f>
        <v/>
      </c>
      <c r="J8" s="176" t="b">
        <f>IF(A11="✓",INDEX(AE3:AE11,MATCH(MIN(AM3:AM11),AM3:AM11,0)),IF(A10="✓",INDEX(AE15:AE19,MATCH(MIN(AM15:AM19),AM15:AM19,0)),IF(A9="✓",INDEX(AE23:AE26,MATCH(MIN(AM23:AM26),AM23:AM26,0)))))</f>
        <v>0</v>
      </c>
      <c r="K8" s="177"/>
      <c r="L8" s="6" t="b">
        <f>IF(A11="✓",INDEX(AF3:AF11,MATCH(MIN(AM3:AM11),AM3:AM11,0)),IF(A10="✓",INDEX(AF15:AF19,MATCH(MIN(AM15:AM19),AM15:AM19,0)),IF(A9="✓",INDEX(AF23:AF26,MATCH(MIN(AM23:AM26),AM23:AM26,0)))))</f>
        <v>0</v>
      </c>
      <c r="M8" s="7" t="s">
        <v>1</v>
      </c>
      <c r="O8" s="173"/>
      <c r="P8" s="171"/>
      <c r="R8" s="22" t="s">
        <v>17</v>
      </c>
      <c r="S8" s="10">
        <v>783000</v>
      </c>
      <c r="T8" s="23">
        <v>22000</v>
      </c>
      <c r="U8" s="24" t="s">
        <v>17</v>
      </c>
      <c r="V8" s="2">
        <f t="shared" si="0"/>
        <v>0</v>
      </c>
      <c r="W8" s="3">
        <f t="shared" si="1"/>
        <v>0</v>
      </c>
      <c r="X8" s="1" t="str" cm="1">
        <f t="array" ref="X8">IF(W8=0,"",MIN(IF($T$3:$T$11&gt;=W8,$T$3:$T$11,"")))</f>
        <v/>
      </c>
      <c r="Y8" s="3" t="str">
        <f t="shared" si="2"/>
        <v/>
      </c>
      <c r="Z8" s="1" t="str">
        <f t="shared" si="3"/>
        <v/>
      </c>
      <c r="AA8" s="3">
        <f t="shared" si="4"/>
        <v>0</v>
      </c>
      <c r="AB8" s="1">
        <f t="shared" si="5"/>
        <v>0</v>
      </c>
      <c r="AC8" s="18" t="str">
        <f t="shared" si="13"/>
        <v/>
      </c>
      <c r="AD8" s="3" t="str">
        <f t="shared" si="6"/>
        <v/>
      </c>
      <c r="AE8" s="3" t="str">
        <f t="shared" si="7"/>
        <v/>
      </c>
      <c r="AF8" s="3" t="str">
        <f t="shared" si="8"/>
        <v/>
      </c>
      <c r="AG8" s="18" t="e">
        <f t="shared" si="9"/>
        <v>#VALUE!</v>
      </c>
      <c r="AH8" s="11" t="str">
        <f t="shared" si="14"/>
        <v/>
      </c>
      <c r="AI8" s="18" t="str">
        <f>IF(OR(AH8=AI3,AH8=AI4,AH8=AI5,AH8=AI6,AH8=AI7),"",AH8)</f>
        <v/>
      </c>
      <c r="AJ8" s="30" t="str">
        <f t="shared" si="10"/>
        <v/>
      </c>
      <c r="AK8" s="20" t="str">
        <f t="shared" si="15"/>
        <v/>
      </c>
      <c r="AL8" s="31" t="str">
        <f t="shared" si="11"/>
        <v/>
      </c>
      <c r="AM8" s="32" t="str">
        <f t="shared" si="16"/>
        <v/>
      </c>
      <c r="AN8" s="35" t="str">
        <f t="shared" si="12"/>
        <v/>
      </c>
    </row>
    <row r="9" spans="1:41" ht="25.5" customHeight="1" thickTop="1">
      <c r="A9" s="64"/>
      <c r="B9" s="174" t="s">
        <v>125</v>
      </c>
      <c r="C9" s="175"/>
      <c r="D9" s="175"/>
      <c r="E9" s="175"/>
      <c r="R9" s="22" t="s">
        <v>3</v>
      </c>
      <c r="S9" s="10">
        <v>517400</v>
      </c>
      <c r="T9" s="23">
        <v>19200</v>
      </c>
      <c r="U9" s="24" t="s">
        <v>3</v>
      </c>
      <c r="V9" s="2">
        <f t="shared" si="0"/>
        <v>0</v>
      </c>
      <c r="W9" s="3">
        <f t="shared" si="1"/>
        <v>0</v>
      </c>
      <c r="X9" s="1" t="str" cm="1">
        <f t="array" ref="X9">IF(W9=0,"",MIN(IF($T$3:$T$11&gt;=W9,$T$3:$T$11,"")))</f>
        <v/>
      </c>
      <c r="Y9" s="3" t="str">
        <f t="shared" si="2"/>
        <v/>
      </c>
      <c r="Z9" s="1" t="str">
        <f t="shared" si="3"/>
        <v/>
      </c>
      <c r="AA9" s="3">
        <f t="shared" si="4"/>
        <v>0</v>
      </c>
      <c r="AB9" s="1">
        <f t="shared" si="5"/>
        <v>0</v>
      </c>
      <c r="AC9" s="18" t="str">
        <f t="shared" si="13"/>
        <v/>
      </c>
      <c r="AD9" s="3" t="str">
        <f t="shared" si="6"/>
        <v/>
      </c>
      <c r="AE9" s="3" t="str">
        <f t="shared" si="7"/>
        <v/>
      </c>
      <c r="AF9" s="3" t="str">
        <f t="shared" si="8"/>
        <v/>
      </c>
      <c r="AG9" s="18" t="e">
        <f t="shared" si="9"/>
        <v>#VALUE!</v>
      </c>
      <c r="AH9" s="11" t="str">
        <f t="shared" si="14"/>
        <v/>
      </c>
      <c r="AI9" s="18" t="str">
        <f>IF(OR(AH9=AI3,AH9=AI4,AH9=AI5,AH9=AI6,AH9=AI7,AH9=AI8),"",AH9)</f>
        <v/>
      </c>
      <c r="AJ9" s="30" t="str">
        <f t="shared" si="10"/>
        <v/>
      </c>
      <c r="AK9" s="20" t="str">
        <f t="shared" si="15"/>
        <v/>
      </c>
      <c r="AL9" s="31" t="str">
        <f t="shared" si="11"/>
        <v/>
      </c>
      <c r="AM9" s="32" t="str">
        <f t="shared" si="16"/>
        <v/>
      </c>
      <c r="AN9" s="35" t="str">
        <f t="shared" si="12"/>
        <v/>
      </c>
    </row>
    <row r="10" spans="1:41" ht="25.5" customHeight="1">
      <c r="A10" s="148"/>
      <c r="B10" s="174" t="s">
        <v>126</v>
      </c>
      <c r="C10" s="175"/>
      <c r="D10" s="175"/>
      <c r="E10" s="175"/>
      <c r="I10" s="9"/>
      <c r="J10" s="158" t="b">
        <f>IF(A11="✓",IF(SUM(AN3:AN11)&lt;=1,"","パターン②"),IF(A10="✓",IF(SUM(AN15:AN19)&lt;=1,"","パターン②"),IF(A9="✓",IF(SUM(AN23:AN26)&lt;=1,"","パターン②"))))</f>
        <v>0</v>
      </c>
      <c r="K10" s="9"/>
      <c r="R10" s="22" t="s">
        <v>4</v>
      </c>
      <c r="S10" s="10">
        <v>541400</v>
      </c>
      <c r="T10" s="23">
        <v>16900</v>
      </c>
      <c r="U10" s="24" t="s">
        <v>4</v>
      </c>
      <c r="V10" s="2">
        <f t="shared" si="0"/>
        <v>0</v>
      </c>
      <c r="W10" s="3">
        <f t="shared" si="1"/>
        <v>0</v>
      </c>
      <c r="X10" s="1" t="str" cm="1">
        <f t="array" ref="X10">IF(W10=0,"",MIN(IF($T$3:$T$11&gt;=W10,$T$3:$T$11,"")))</f>
        <v/>
      </c>
      <c r="Y10" s="3" t="str">
        <f t="shared" si="2"/>
        <v/>
      </c>
      <c r="Z10" s="1" t="str">
        <f t="shared" si="3"/>
        <v/>
      </c>
      <c r="AA10" s="3">
        <f t="shared" si="4"/>
        <v>0</v>
      </c>
      <c r="AB10" s="1">
        <f t="shared" si="5"/>
        <v>0</v>
      </c>
      <c r="AC10" s="18" t="str">
        <f t="shared" si="13"/>
        <v/>
      </c>
      <c r="AD10" s="3" t="str">
        <f t="shared" si="6"/>
        <v/>
      </c>
      <c r="AE10" s="3" t="str">
        <f t="shared" si="7"/>
        <v/>
      </c>
      <c r="AF10" s="3" t="str">
        <f t="shared" si="8"/>
        <v/>
      </c>
      <c r="AG10" s="18" t="e">
        <f t="shared" si="9"/>
        <v>#VALUE!</v>
      </c>
      <c r="AH10" s="11" t="str">
        <f t="shared" si="14"/>
        <v/>
      </c>
      <c r="AI10" s="18" t="str">
        <f>IF(OR(AH10=AI3,AH10=AI4,AH10=AI5,AH10=AI6,AH10=AI7,AH10=AI8,AH10=AI9),"",AH10)</f>
        <v/>
      </c>
      <c r="AJ10" s="30" t="str">
        <f t="shared" si="10"/>
        <v/>
      </c>
      <c r="AK10" s="20" t="str">
        <f t="shared" si="15"/>
        <v/>
      </c>
      <c r="AL10" s="31" t="str">
        <f t="shared" si="11"/>
        <v/>
      </c>
      <c r="AM10" s="32" t="str">
        <f t="shared" si="16"/>
        <v/>
      </c>
      <c r="AN10" s="35" t="str">
        <f t="shared" si="12"/>
        <v/>
      </c>
    </row>
    <row r="11" spans="1:41" ht="25.5" customHeight="1" thickBot="1">
      <c r="A11" s="65"/>
      <c r="B11" s="174" t="s">
        <v>127</v>
      </c>
      <c r="C11" s="175"/>
      <c r="D11" s="175"/>
      <c r="E11" s="175"/>
      <c r="J11" s="169" t="s">
        <v>9</v>
      </c>
      <c r="K11" s="169"/>
      <c r="L11" s="169"/>
      <c r="M11" s="169"/>
      <c r="O11" s="169" t="s">
        <v>8</v>
      </c>
      <c r="P11" s="169"/>
      <c r="R11" s="25" t="s">
        <v>52</v>
      </c>
      <c r="S11" s="16">
        <v>420000</v>
      </c>
      <c r="T11" s="26">
        <v>14000</v>
      </c>
      <c r="U11" s="27" t="s">
        <v>52</v>
      </c>
      <c r="V11" s="35">
        <f t="shared" si="0"/>
        <v>0</v>
      </c>
      <c r="W11" s="3">
        <f t="shared" si="1"/>
        <v>0</v>
      </c>
      <c r="X11" s="1" t="str" cm="1">
        <f t="array" ref="X11">IF(W11=0,"",MIN(IF($T$3:$T$11&gt;=W11,$T$3:$T$11,"")))</f>
        <v/>
      </c>
      <c r="Y11" s="3" t="str">
        <f t="shared" si="2"/>
        <v/>
      </c>
      <c r="Z11" s="1" t="str">
        <f t="shared" si="3"/>
        <v/>
      </c>
      <c r="AA11" s="3">
        <f t="shared" si="4"/>
        <v>0</v>
      </c>
      <c r="AB11" s="1">
        <f t="shared" si="5"/>
        <v>0</v>
      </c>
      <c r="AC11" s="18" t="str">
        <f t="shared" si="13"/>
        <v/>
      </c>
      <c r="AD11" s="3" t="str">
        <f t="shared" si="6"/>
        <v/>
      </c>
      <c r="AE11" s="3" t="str">
        <f t="shared" si="7"/>
        <v/>
      </c>
      <c r="AF11" s="3" t="str">
        <f t="shared" si="8"/>
        <v/>
      </c>
      <c r="AG11" s="18" t="e">
        <f t="shared" si="9"/>
        <v>#VALUE!</v>
      </c>
      <c r="AH11" s="11" t="str">
        <f t="shared" si="14"/>
        <v/>
      </c>
      <c r="AI11" s="18" t="str">
        <f>IF(OR(AH11=AI3,AH11=AI4,AH11=AI5,AH11=AI6,AH11=AI7,AH11=AI8,AH11=AI9,AH11=AI10),"",AH11)</f>
        <v/>
      </c>
      <c r="AJ11" s="30" t="str">
        <f t="shared" si="10"/>
        <v/>
      </c>
      <c r="AK11" s="20" t="str">
        <f t="shared" si="15"/>
        <v/>
      </c>
      <c r="AL11" s="31" t="str">
        <f>IF(AI11="","",RANK(AG11,$AG$3:$AG$11,1))</f>
        <v/>
      </c>
      <c r="AM11" s="34" t="str">
        <f>IF(AJ11="","",AJ11+AK11/10+AL11/100)</f>
        <v/>
      </c>
      <c r="AN11" s="35" t="str">
        <f>IF(AM11="","",1)</f>
        <v/>
      </c>
    </row>
    <row r="12" spans="1:41" ht="25.5" customHeight="1" thickTop="1">
      <c r="J12" s="176" t="b">
        <f>IF(A11="✓",(IF(SUM(AN3:AN11)&lt;=1,"",INDEX(AC3:AC11,MATCH(SMALL(AM3:AM11,2),AM3:AM11,0)))),IF(A10="✓",IF(SUM(AN15:AN19)&lt;=1,"",INDEX(AC15:AC19,MATCH(SMALL(AM15:AM19,2),AM15:AM19,0))),IF(A9="✓",IF(SUM(AN23:AN26)&lt;=1,"",INDEX(AC23:AC26,MATCH(SMALL(AM23:AM26,2),AM23:AM26,0))))))</f>
        <v>0</v>
      </c>
      <c r="K12" s="177"/>
      <c r="L12" s="6" t="b">
        <f>IF(A11="✓",(IF(SUM(AN3:AN11)&lt;=1,"",INDEX(AD3:AD11,MATCH(SMALL(AM3:AM11,2),AM3:AM11,0)))),IF(A10="✓",IF(SUM(AN15:AN19)&lt;=1,"",INDEX(AD15:AD19,MATCH(SMALL(AM15:AM19,2),AM15:AM19,0))),IF(A9="✓",IF(SUM(AN23:AN26)&lt;=1,"",INDEX(AD23:AD26,MATCH(SMALL(AM23:AM26,2),AM23:AM26,0))))))</f>
        <v>0</v>
      </c>
      <c r="M12" s="7" t="s">
        <v>1</v>
      </c>
      <c r="O12" s="172" t="b">
        <f>IF(A11="✓",IF(SUM(AN3:AN11)&lt;=1,"",INDEX(AA3:AA11,MATCH(SMALL(AM3:AM11,2),AM3:AM11,0))),IF(A10="✓",IF(SUM(AN15:AN19)&lt;=1,"",INDEX(AA15:AA19,MATCH(SMALL(AM15:AM19,2),AM15:AM19,0))),IF(A9="✓",IF(SUM(AN23:AN26)&lt;=1,"",INDEX(AA23:AA26,MATCH(SMALL(AM23:AM26,2),AM23:AM26,0))))))</f>
        <v>0</v>
      </c>
      <c r="P12" s="170" t="s">
        <v>0</v>
      </c>
    </row>
    <row r="13" spans="1:41" ht="25.5" customHeight="1" thickBot="1">
      <c r="A13" s="40" t="s">
        <v>38</v>
      </c>
      <c r="J13" s="176" t="b">
        <f>IF(A11="✓",(IF(SUM(AN3:AN11)&lt;=1,"",INDEX(AE3:AE11,MATCH(SMALL(AM3:AM11,2),AM3:AM11,0)))),IF(A10="✓",IF(SUM(AN15:AN19)&lt;=1,"",INDEX(AE15:AE19,MATCH(SMALL(AM15:AM19,2),AM15:AM19,0))),IF(A9="✓",IF(SUM(AN23:AN26)&lt;=1,"",INDEX(AE23:AE26,MATCH(SMALL(AM23:AM26,2),AM23:AM26,0))))))</f>
        <v>0</v>
      </c>
      <c r="K13" s="177"/>
      <c r="L13" s="6" t="b">
        <f>IF(A11="✓",(IF(SUM(AN3:AN11)&lt;=1,"",INDEX(AF3:AF11,MATCH(SMALL(AM3:AM11,2),AM3:AM11,0)))),IF(A10="✓",IF(SUM(AN15:AN19)&lt;=1,"",INDEX(AF15:AF19,MATCH(SMALL(AM15:AM19,2),AM15:AM19,0))),IF(A9="✓",IF(SUM(AN23:AN26)&lt;=1,"",INDEX(AF23:AF26,MATCH(SMALL(AM23:AM26,2),AM23:AM26,0))))))</f>
        <v>0</v>
      </c>
      <c r="M13" s="7" t="s">
        <v>1</v>
      </c>
      <c r="O13" s="173"/>
      <c r="P13" s="171"/>
      <c r="R13" t="s">
        <v>53</v>
      </c>
    </row>
    <row r="14" spans="1:41" ht="25.5" customHeight="1" thickBot="1">
      <c r="A14" s="40" t="s">
        <v>39</v>
      </c>
      <c r="G14" s="5" t="str">
        <f>IF(COUNTA(A15:A16)&gt;1,"※1つだけ選択してください","")</f>
        <v/>
      </c>
      <c r="R14" s="13"/>
      <c r="S14" s="57" t="s">
        <v>31</v>
      </c>
      <c r="T14" s="14" t="s">
        <v>13</v>
      </c>
      <c r="U14" s="15"/>
      <c r="V14" s="12" t="s">
        <v>21</v>
      </c>
      <c r="W14" s="3" t="s">
        <v>12</v>
      </c>
      <c r="X14" s="58" t="s">
        <v>22</v>
      </c>
      <c r="Y14" s="3" t="s">
        <v>23</v>
      </c>
      <c r="Z14" s="1">
        <v>1</v>
      </c>
      <c r="AA14" s="3" t="s">
        <v>20</v>
      </c>
      <c r="AB14" s="1" t="s">
        <v>24</v>
      </c>
      <c r="AC14" s="167" t="s">
        <v>30</v>
      </c>
      <c r="AD14" s="167"/>
      <c r="AE14" s="167"/>
      <c r="AF14" s="167"/>
      <c r="AG14" s="167"/>
      <c r="AH14" s="17" t="s">
        <v>28</v>
      </c>
      <c r="AI14" s="21" t="s">
        <v>29</v>
      </c>
      <c r="AJ14" s="28" t="s">
        <v>25</v>
      </c>
      <c r="AK14" s="19" t="s">
        <v>121</v>
      </c>
      <c r="AL14" s="29" t="s">
        <v>26</v>
      </c>
      <c r="AM14" s="45" t="s">
        <v>27</v>
      </c>
      <c r="AN14" s="46" t="s">
        <v>32</v>
      </c>
    </row>
    <row r="15" spans="1:41" ht="25.5" customHeight="1" thickTop="1">
      <c r="A15" s="64"/>
      <c r="B15" s="174" t="s">
        <v>128</v>
      </c>
      <c r="C15" s="175"/>
      <c r="D15" s="175"/>
      <c r="E15" s="175"/>
      <c r="I15" s="9"/>
      <c r="J15" s="158" t="b">
        <f>IF(A11="✓",IF(SUM(AN3:AN11)&lt;=2,"","パターン③"),IF(A10="✓",IF(SUM(AN15:AN19)&lt;=2,"","パターン③"),IF(A9="✓",IF(SUM(AN23:AN26)&lt;=2,"","パターン③"))))</f>
        <v>0</v>
      </c>
      <c r="K15" s="9"/>
      <c r="R15" s="22" t="s">
        <v>14</v>
      </c>
      <c r="S15" s="10">
        <v>1030400</v>
      </c>
      <c r="T15" s="23">
        <v>38000</v>
      </c>
      <c r="U15" s="24" t="s">
        <v>14</v>
      </c>
      <c r="V15" s="2">
        <f>ROUNDDOWN($B$29/T15,0)</f>
        <v>0</v>
      </c>
      <c r="W15" s="3">
        <f>$B$29-T15*V15</f>
        <v>0</v>
      </c>
      <c r="X15" s="1" t="str" cm="1">
        <f t="array" ref="X15">IF(W15=0,"",MIN(IF($T$15:$T$19&gt;=W15,$T$15:$T$19,"")))</f>
        <v/>
      </c>
      <c r="Y15" s="3" t="str">
        <f>IF(W15=0,"",VLOOKUP(X15,$T$15:$U$19,2,FALSE))</f>
        <v/>
      </c>
      <c r="Z15" s="1" t="str">
        <f>IF(W15=0,"",1)</f>
        <v/>
      </c>
      <c r="AA15" s="3">
        <f t="shared" ref="AA15:AA19" si="17">IF(X15="",T15*V15,T15*V15+X15)</f>
        <v>0</v>
      </c>
      <c r="AB15" s="1">
        <f t="shared" ref="AB15:AB19" si="18">IF(X15="",V15,V15+Z15)</f>
        <v>0</v>
      </c>
      <c r="AC15" s="18" t="str">
        <f>IF(V15=0,Y15,R15)</f>
        <v/>
      </c>
      <c r="AD15" s="3" t="str">
        <f>IF(V15=0,Z15,IF(U15=Y15,V15+Z15,V15))</f>
        <v/>
      </c>
      <c r="AE15" s="3" t="str">
        <f>IF(V15=0,"",(IF(U15=Y15,"",Y15)))</f>
        <v/>
      </c>
      <c r="AF15" s="3" t="str">
        <f>IF(V15=0,"",(IF(U15=Y15,"",Z15)))</f>
        <v/>
      </c>
      <c r="AG15" s="18" t="e">
        <f>IF(AE15="",AD15*VLOOKUP(AC15,$R$15:$S$19,2,FALSE),AD15*VLOOKUP(AC15,$R$15:$S$19,2,FALSE)+AF15*VLOOKUP(AE15,$R$15:$S$19,2,FALSE))</f>
        <v>#VALUE!</v>
      </c>
      <c r="AH15" s="11" t="str">
        <f>AC15&amp;AD15&amp;AE15&amp;AF15</f>
        <v/>
      </c>
      <c r="AI15" s="18" t="str">
        <f>AH15</f>
        <v/>
      </c>
      <c r="AJ15" s="30" t="str">
        <f>IF(AI15="","",RANK(AB15,$AB$15:$AB$19,1))</f>
        <v/>
      </c>
      <c r="AK15" s="20" t="str">
        <f>IF(AI15="","",RANK(AA15,$AA$15:$AA$19))</f>
        <v/>
      </c>
      <c r="AL15" s="31" t="str">
        <f>IF(AI15="","",RANK(AG15,$AG$15:$AG$19,1))</f>
        <v/>
      </c>
      <c r="AM15" s="32" t="str">
        <f>IF(AJ15="","",AJ15+AK15/10+AL15/100)</f>
        <v/>
      </c>
      <c r="AN15" s="35" t="str">
        <f>IF(AM15="","",1)</f>
        <v/>
      </c>
    </row>
    <row r="16" spans="1:41" ht="25.5" customHeight="1" thickBot="1">
      <c r="A16" s="65"/>
      <c r="B16" s="174" t="s">
        <v>132</v>
      </c>
      <c r="C16" s="175"/>
      <c r="D16" s="175"/>
      <c r="E16" s="175"/>
      <c r="J16" s="169" t="s">
        <v>9</v>
      </c>
      <c r="K16" s="169"/>
      <c r="L16" s="169"/>
      <c r="M16" s="169"/>
      <c r="O16" s="169" t="s">
        <v>8</v>
      </c>
      <c r="P16" s="169"/>
      <c r="R16" s="22" t="s">
        <v>15</v>
      </c>
      <c r="S16" s="10">
        <v>968000</v>
      </c>
      <c r="T16" s="23">
        <v>30000</v>
      </c>
      <c r="U16" s="24" t="s">
        <v>15</v>
      </c>
      <c r="V16" s="2">
        <f>ROUNDDOWN($B$29/T16,0)</f>
        <v>0</v>
      </c>
      <c r="W16" s="3">
        <f>$B$29-T16*V16</f>
        <v>0</v>
      </c>
      <c r="X16" s="1" t="str" cm="1">
        <f t="array" ref="X16">IF(W16=0,"",MIN(IF($T$15:$T$19&gt;=W16,$T$15:$T$19,"")))</f>
        <v/>
      </c>
      <c r="Y16" s="3" t="str">
        <f t="shared" ref="Y16:Y19" si="19">IF(W16=0,"",VLOOKUP(X16,$T$15:$U$19,2,FALSE))</f>
        <v/>
      </c>
      <c r="Z16" s="1" t="str">
        <f t="shared" ref="Z16:Z19" si="20">IF(W16=0,"",1)</f>
        <v/>
      </c>
      <c r="AA16" s="3">
        <f t="shared" si="17"/>
        <v>0</v>
      </c>
      <c r="AB16" s="1">
        <f t="shared" si="18"/>
        <v>0</v>
      </c>
      <c r="AC16" s="18" t="str">
        <f t="shared" ref="AC16:AC19" si="21">IF(V16=0,Y16,R16)</f>
        <v/>
      </c>
      <c r="AD16" s="3" t="str">
        <f t="shared" ref="AD16:AD19" si="22">IF(V16=0,Z16,IF(U16=Y16,V16+Z16,V16))</f>
        <v/>
      </c>
      <c r="AE16" s="3" t="str">
        <f t="shared" ref="AE16:AE19" si="23">IF(V16=0,"",(IF(U16=Y16,"",Y16)))</f>
        <v/>
      </c>
      <c r="AF16" s="3" t="str">
        <f t="shared" ref="AF16:AF19" si="24">IF(V16=0,"",(IF(U16=Y16,"",Z16)))</f>
        <v/>
      </c>
      <c r="AG16" s="18" t="e">
        <f t="shared" ref="AG16:AG19" si="25">IF(AE16="",AD16*VLOOKUP(AC16,$R$15:$S$19,2,FALSE),AD16*VLOOKUP(AC16,$R$15:$S$19,2,FALSE)+AF16*VLOOKUP(AE16,$R$15:$S$19,2,FALSE))</f>
        <v>#VALUE!</v>
      </c>
      <c r="AH16" s="11" t="str">
        <f>AC16&amp;AD16&amp;AE16&amp;AF16</f>
        <v/>
      </c>
      <c r="AI16" s="18" t="str">
        <f>IF(AH16=AI15,"",AH16)</f>
        <v/>
      </c>
      <c r="AJ16" s="30" t="str">
        <f t="shared" ref="AJ16:AJ19" si="26">IF(AI16="","",RANK(AB16,$AB$15:$AB$19,1))</f>
        <v/>
      </c>
      <c r="AK16" s="20" t="str">
        <f t="shared" ref="AK16:AK19" si="27">IF(AI16="","",RANK(AA16,$AA$15:$AA$19))</f>
        <v/>
      </c>
      <c r="AL16" s="31" t="str">
        <f t="shared" ref="AL16:AL19" si="28">IF(AI16="","",RANK(AG16,$AG$15:$AG$19,1))</f>
        <v/>
      </c>
      <c r="AM16" s="32" t="str">
        <f>IF(AJ16="","",AJ16+AK16/10+AL16/100)</f>
        <v/>
      </c>
      <c r="AN16" s="35" t="str">
        <f>IF(AM16="","",1)</f>
        <v/>
      </c>
    </row>
    <row r="17" spans="1:40" ht="25.5" customHeight="1" thickTop="1">
      <c r="J17" s="176" t="b">
        <f>IF(A11="✓",(IF(SUM(AN3:AN11)&lt;=2,"",INDEX(AC3:AC11,MATCH(SMALL(AM3:AM11,3),AM3:AM11,0)))),IF(A10="✓",IF(SUM(AN15:AN19)&lt;=2,"",INDEX(AC15:AC19,MATCH(SMALL(AM15:AM19,3),AM15:AM19,0))),IF(A9="✓",IF(SUM(AN23:AN26)&lt;=2,"",INDEX(AC23:AC26,MATCH(SMALL(AM23:AM26,3),AM23:AM26,0))))))</f>
        <v>0</v>
      </c>
      <c r="K17" s="177"/>
      <c r="L17" s="6" t="b">
        <f>IF(A11="✓",(IF(SUM(AN3:AN11)&lt;=2,"",INDEX(AD3:AD11,MATCH(SMALL(AM3:AM11,3),AM3:AM11,0)))),IF(A10="✓",IF(SUM(AN15:AN19)&lt;=2,"",INDEX(AD15:AD19,MATCH(SMALL(AM15:AM19,3),AM15:AM19,0))),IF(A9="✓",IF(SUM(AN23:AN26)&lt;=2,"",INDEX(AD23:AD26,MATCH(SMALL(AM23:AM26,3),AM23:AM26,0))))))</f>
        <v>0</v>
      </c>
      <c r="M17" s="7" t="s">
        <v>1</v>
      </c>
      <c r="O17" s="172" t="b">
        <f>IF(A11="✓",IF(SUM(AN3:AN11)&lt;=2,"",INDEX(AA3:AA11,MATCH(SMALL(AM3:AM11,3),AM3:AM11,0))),IF(A10="✓",IF(SUM(AN15:AN19)&lt;=2,"",INDEX(AA15:AA19,MATCH(SMALL(AM15:AM19,3),AM15:AM19,0))),IF(A9="✓",IF(SUM(AN23:AN26)&lt;=2,"",INDEX(AA23:AA26,MATCH(SMALL(AM23:AM26,3),AM23:AM26,0))))))</f>
        <v>0</v>
      </c>
      <c r="P17" s="170" t="s">
        <v>0</v>
      </c>
      <c r="R17" s="22" t="s">
        <v>18</v>
      </c>
      <c r="S17" s="10">
        <v>784400</v>
      </c>
      <c r="T17" s="23">
        <v>27800</v>
      </c>
      <c r="U17" s="24" t="s">
        <v>18</v>
      </c>
      <c r="V17" s="2">
        <f>ROUNDDOWN($B$29/T17,0)</f>
        <v>0</v>
      </c>
      <c r="W17" s="3">
        <f>$B$29-T17*V17</f>
        <v>0</v>
      </c>
      <c r="X17" s="1" t="str" cm="1">
        <f t="array" ref="X17">IF(W17=0,"",MIN(IF($T$15:$T$19&gt;=W17,$T$15:$T$19,"")))</f>
        <v/>
      </c>
      <c r="Y17" s="3" t="str">
        <f t="shared" si="19"/>
        <v/>
      </c>
      <c r="Z17" s="1" t="str">
        <f t="shared" si="20"/>
        <v/>
      </c>
      <c r="AA17" s="3">
        <f t="shared" si="17"/>
        <v>0</v>
      </c>
      <c r="AB17" s="1">
        <f t="shared" si="18"/>
        <v>0</v>
      </c>
      <c r="AC17" s="18" t="str">
        <f t="shared" si="21"/>
        <v/>
      </c>
      <c r="AD17" s="3" t="str">
        <f t="shared" si="22"/>
        <v/>
      </c>
      <c r="AE17" s="3" t="str">
        <f t="shared" si="23"/>
        <v/>
      </c>
      <c r="AF17" s="3" t="str">
        <f t="shared" si="24"/>
        <v/>
      </c>
      <c r="AG17" s="18" t="e">
        <f t="shared" si="25"/>
        <v>#VALUE!</v>
      </c>
      <c r="AH17" s="11" t="str">
        <f>AC17&amp;AD17&amp;AE17&amp;AF17</f>
        <v/>
      </c>
      <c r="AI17" s="18" t="str">
        <f>IF(OR(AH17=AI15,AH17=AI16),"",AH17)</f>
        <v/>
      </c>
      <c r="AJ17" s="30" t="str">
        <f t="shared" si="26"/>
        <v/>
      </c>
      <c r="AK17" s="20" t="str">
        <f t="shared" si="27"/>
        <v/>
      </c>
      <c r="AL17" s="31" t="str">
        <f t="shared" si="28"/>
        <v/>
      </c>
      <c r="AM17" s="32" t="str">
        <f t="shared" ref="AM17:AM19" si="29">IF(AJ17="","",AJ17+AK17/10+AL17/100)</f>
        <v/>
      </c>
      <c r="AN17" s="35" t="str">
        <f>IF(AM17="","",1)</f>
        <v/>
      </c>
    </row>
    <row r="18" spans="1:40" ht="25.5" customHeight="1">
      <c r="J18" s="176" t="b">
        <f>IF(A11="✓",(IF(SUM(AN3:AN11)&lt;=2,"",INDEX(AE3:AE11,MATCH(SMALL(AM3:AM11,3),AM3:AM11,0)))),IF(A10="✓",IF(SUM(AN15:AN19)&lt;=2,"",INDEX(AE15:AE19,MATCH(SMALL(AM15:AM19,3),AM15:AM19,0))),IF(A9="✓",IF(SUM(AN23:AN26)&lt;=2,"",INDEX(AE23:AE26,MATCH(SMALL(AM23:AM26,3),AM23:AM26,0))))))</f>
        <v>0</v>
      </c>
      <c r="K18" s="177"/>
      <c r="L18" s="6" t="b">
        <f>IF(A11="✓",(IF(SUM(AN3:AN11)&lt;=2,"",INDEX(AF3:AF11,MATCH(SMALL(AM3:AM11,3),AM3:AM11,0)))),IF(A10="✓",IF(SUM(AN15:AN19)&lt;=2,"",INDEX(AF15:AF19,MATCH(SMALL(AM15:AM19,3),AM15:AM19,0))),IF(A9="✓",IF(SUM(AN23:AN26)&lt;=2,"",INDEX(AF23:AF26,MATCH(SMALL(AM23:AM26,3),AM23:AM26,0))))))</f>
        <v>0</v>
      </c>
      <c r="M18" s="7" t="s">
        <v>1</v>
      </c>
      <c r="O18" s="173"/>
      <c r="P18" s="171"/>
      <c r="R18" s="22" t="s">
        <v>16</v>
      </c>
      <c r="S18" s="10">
        <v>863000</v>
      </c>
      <c r="T18" s="23">
        <v>26000</v>
      </c>
      <c r="U18" s="24" t="s">
        <v>16</v>
      </c>
      <c r="V18" s="2">
        <f>ROUNDDOWN($B$29/T18,0)</f>
        <v>0</v>
      </c>
      <c r="W18" s="3">
        <f>$B$29-T18*V18</f>
        <v>0</v>
      </c>
      <c r="X18" s="1" t="str" cm="1">
        <f t="array" ref="X18">IF(W18=0,"",MIN(IF($T$15:$T$19&gt;=W18,$T$15:$T$19,"")))</f>
        <v/>
      </c>
      <c r="Y18" s="3" t="str">
        <f t="shared" si="19"/>
        <v/>
      </c>
      <c r="Z18" s="1" t="str">
        <f t="shared" si="20"/>
        <v/>
      </c>
      <c r="AA18" s="3">
        <f t="shared" si="17"/>
        <v>0</v>
      </c>
      <c r="AB18" s="1">
        <f t="shared" si="18"/>
        <v>0</v>
      </c>
      <c r="AC18" s="18" t="str">
        <f t="shared" si="21"/>
        <v/>
      </c>
      <c r="AD18" s="3" t="str">
        <f t="shared" si="22"/>
        <v/>
      </c>
      <c r="AE18" s="3" t="str">
        <f t="shared" si="23"/>
        <v/>
      </c>
      <c r="AF18" s="3" t="str">
        <f t="shared" si="24"/>
        <v/>
      </c>
      <c r="AG18" s="18" t="e">
        <f t="shared" si="25"/>
        <v>#VALUE!</v>
      </c>
      <c r="AH18" s="11" t="str">
        <f t="shared" ref="AH18:AH19" si="30">AC18&amp;AD18&amp;AE18&amp;AF18</f>
        <v/>
      </c>
      <c r="AI18" s="18" t="str">
        <f>IF(OR(AH18=AI15,AH18=AI16,AH18=AI17),"",AH18)</f>
        <v/>
      </c>
      <c r="AJ18" s="30" t="str">
        <f t="shared" si="26"/>
        <v/>
      </c>
      <c r="AK18" s="20" t="str">
        <f t="shared" si="27"/>
        <v/>
      </c>
      <c r="AL18" s="31" t="str">
        <f t="shared" si="28"/>
        <v/>
      </c>
      <c r="AM18" s="32" t="str">
        <f t="shared" si="29"/>
        <v/>
      </c>
      <c r="AN18" s="35" t="str">
        <f>IF(AM18="","",1)</f>
        <v/>
      </c>
    </row>
    <row r="19" spans="1:40" ht="25.5" customHeight="1" thickBot="1">
      <c r="A19" s="40" t="str">
        <f>IF(COUNTA(A15:A16)=0,"STEP3：",IF(A15="✓","STEP3：建物の奥行(D)・幅(W)・高さ(H)を入力してください。","STEP3：環境改善をしたい部分の奥行(D)・幅(W)・高さ(H)を入力してください。"))</f>
        <v>STEP3：</v>
      </c>
      <c r="I19" s="37"/>
      <c r="J19" s="43" t="s">
        <v>10</v>
      </c>
      <c r="K19" s="37"/>
      <c r="L19" s="37"/>
      <c r="M19" s="37"/>
      <c r="N19" s="37"/>
      <c r="O19" s="37"/>
      <c r="P19" s="37"/>
      <c r="R19" s="25" t="s">
        <v>17</v>
      </c>
      <c r="S19" s="16">
        <v>783000</v>
      </c>
      <c r="T19" s="26">
        <v>22000</v>
      </c>
      <c r="U19" s="27" t="s">
        <v>17</v>
      </c>
      <c r="V19" s="2">
        <f>ROUNDDOWN($B$29/T19,0)</f>
        <v>0</v>
      </c>
      <c r="W19" s="3">
        <f>$B$29-T19*V19</f>
        <v>0</v>
      </c>
      <c r="X19" s="1" t="str" cm="1">
        <f t="array" ref="X19">IF(W19=0,"",MIN(IF($T$15:$T$19&gt;=W19,$T$15:$T$19,"")))</f>
        <v/>
      </c>
      <c r="Y19" s="3" t="str">
        <f t="shared" si="19"/>
        <v/>
      </c>
      <c r="Z19" s="1" t="str">
        <f t="shared" si="20"/>
        <v/>
      </c>
      <c r="AA19" s="3">
        <f t="shared" si="17"/>
        <v>0</v>
      </c>
      <c r="AB19" s="1">
        <f t="shared" si="18"/>
        <v>0</v>
      </c>
      <c r="AC19" s="18" t="str">
        <f t="shared" si="21"/>
        <v/>
      </c>
      <c r="AD19" s="3" t="str">
        <f t="shared" si="22"/>
        <v/>
      </c>
      <c r="AE19" s="3" t="str">
        <f t="shared" si="23"/>
        <v/>
      </c>
      <c r="AF19" s="3" t="str">
        <f t="shared" si="24"/>
        <v/>
      </c>
      <c r="AG19" s="18" t="e">
        <f t="shared" si="25"/>
        <v>#VALUE!</v>
      </c>
      <c r="AH19" s="11" t="str">
        <f t="shared" si="30"/>
        <v/>
      </c>
      <c r="AI19" s="18" t="str">
        <f>IF(OR(AH19=AI15,AH19=AI16,AH19=AI17,AH19=AI18),"",AH19)</f>
        <v/>
      </c>
      <c r="AJ19" s="30" t="str">
        <f t="shared" si="26"/>
        <v/>
      </c>
      <c r="AK19" s="20" t="str">
        <f t="shared" si="27"/>
        <v/>
      </c>
      <c r="AL19" s="31" t="str">
        <f t="shared" si="28"/>
        <v/>
      </c>
      <c r="AM19" s="34" t="str">
        <f t="shared" si="29"/>
        <v/>
      </c>
      <c r="AN19" s="35" t="str">
        <f>IF(AM19="","",1)</f>
        <v/>
      </c>
    </row>
    <row r="20" spans="1:40" ht="25.5" customHeight="1" thickTop="1" thickBot="1">
      <c r="B20" s="149" t="s">
        <v>40</v>
      </c>
      <c r="C20" s="64"/>
      <c r="D20" s="41" t="s">
        <v>43</v>
      </c>
      <c r="I20" s="37"/>
      <c r="J20" s="43"/>
      <c r="K20" s="37"/>
      <c r="L20" s="37"/>
      <c r="M20" s="37"/>
      <c r="N20" s="37"/>
      <c r="O20" s="37"/>
      <c r="P20" s="37"/>
    </row>
    <row r="21" spans="1:40" ht="25.5" customHeight="1" thickTop="1" thickBot="1">
      <c r="B21" s="149" t="s">
        <v>41</v>
      </c>
      <c r="C21" s="64"/>
      <c r="D21" s="41" t="s">
        <v>43</v>
      </c>
      <c r="I21" s="37"/>
      <c r="J21" s="155" t="s">
        <v>35</v>
      </c>
      <c r="K21" s="156"/>
      <c r="L21" s="156"/>
      <c r="M21" s="154"/>
      <c r="O21" s="37"/>
      <c r="P21" s="37"/>
      <c r="R21" t="s">
        <v>54</v>
      </c>
    </row>
    <row r="22" spans="1:40" ht="25.5" customHeight="1" thickTop="1" thickBot="1">
      <c r="B22" s="149" t="s">
        <v>42</v>
      </c>
      <c r="C22" s="164"/>
      <c r="D22" s="41" t="s">
        <v>43</v>
      </c>
      <c r="I22" s="37"/>
      <c r="J22" s="155"/>
      <c r="K22" s="156"/>
      <c r="L22" s="157" t="s">
        <v>120</v>
      </c>
      <c r="M22" s="154"/>
      <c r="N22" s="37"/>
      <c r="O22" s="37"/>
      <c r="P22" s="37"/>
      <c r="R22" s="13"/>
      <c r="S22" s="57" t="s">
        <v>31</v>
      </c>
      <c r="T22" s="14" t="s">
        <v>13</v>
      </c>
      <c r="U22" s="15"/>
      <c r="V22" s="12" t="s">
        <v>21</v>
      </c>
      <c r="W22" s="3" t="s">
        <v>12</v>
      </c>
      <c r="X22" s="58" t="s">
        <v>22</v>
      </c>
      <c r="Y22" s="3" t="s">
        <v>23</v>
      </c>
      <c r="Z22" s="1">
        <v>1</v>
      </c>
      <c r="AA22" s="3" t="s">
        <v>20</v>
      </c>
      <c r="AB22" s="1" t="s">
        <v>24</v>
      </c>
      <c r="AC22" s="167" t="s">
        <v>30</v>
      </c>
      <c r="AD22" s="167"/>
      <c r="AE22" s="167"/>
      <c r="AF22" s="167"/>
      <c r="AG22" s="167"/>
      <c r="AH22" s="17" t="s">
        <v>28</v>
      </c>
      <c r="AI22" s="21" t="s">
        <v>29</v>
      </c>
      <c r="AJ22" s="28" t="s">
        <v>25</v>
      </c>
      <c r="AK22" s="19" t="s">
        <v>121</v>
      </c>
      <c r="AL22" s="29" t="s">
        <v>26</v>
      </c>
      <c r="AM22" s="45" t="s">
        <v>27</v>
      </c>
      <c r="AN22" s="46" t="s">
        <v>32</v>
      </c>
    </row>
    <row r="23" spans="1:40" ht="25.5" customHeight="1" thickTop="1">
      <c r="C23" s="161"/>
      <c r="I23" s="37"/>
      <c r="J23" s="150"/>
      <c r="K23" s="166" t="s">
        <v>129</v>
      </c>
      <c r="L23" s="39"/>
      <c r="M23" s="37"/>
      <c r="N23" s="37"/>
      <c r="O23" s="37"/>
      <c r="P23" s="37"/>
      <c r="R23" s="22" t="s">
        <v>19</v>
      </c>
      <c r="S23" s="10">
        <v>701400</v>
      </c>
      <c r="T23" s="23">
        <v>27700</v>
      </c>
      <c r="U23" s="24" t="s">
        <v>19</v>
      </c>
      <c r="V23" s="2">
        <f>ROUNDDOWN($B$29/T23,0)</f>
        <v>0</v>
      </c>
      <c r="W23" s="3">
        <f>$B$29-T23*V23</f>
        <v>0</v>
      </c>
      <c r="X23" s="1" t="str" cm="1">
        <f t="array" ref="X23">IF(W23=0,"",MIN(IF($T$23:$T$26&gt;=W23,$T$23:$T$26,"")))</f>
        <v/>
      </c>
      <c r="Y23" s="3" t="str">
        <f>IF(W23=0,"",VLOOKUP(X23,$T$23:$U$26,2,FALSE))</f>
        <v/>
      </c>
      <c r="Z23" s="1" t="str">
        <f t="shared" ref="Z23:Z26" si="31">IF(W23=0,"",1)</f>
        <v/>
      </c>
      <c r="AA23" s="3">
        <f t="shared" ref="AA23:AA26" si="32">IF(X23="",T23*V23,T23*V23+X23)</f>
        <v>0</v>
      </c>
      <c r="AB23" s="1">
        <f t="shared" ref="AB23:AB26" si="33">IF(X23="",V23,V23+Z23)</f>
        <v>0</v>
      </c>
      <c r="AC23" s="18" t="str">
        <f>IF(V23=0,Y23,R23)</f>
        <v/>
      </c>
      <c r="AD23" s="3" t="str">
        <f>IF(V23=0,Z23,IF(U23=Y23,V23+Z23,V23))</f>
        <v/>
      </c>
      <c r="AE23" s="3" t="str">
        <f>IF(V23=0,"",(IF(U23=Y23,"",Y23)))</f>
        <v/>
      </c>
      <c r="AF23" s="3" t="str">
        <f>IF(V23=0,"",(IF(U23=Y23,"",Z23)))</f>
        <v/>
      </c>
      <c r="AG23" s="18" t="e">
        <f>IF(AE23="",AD23*VLOOKUP(AC23,$R$23:$S$26,2,FALSE),AD23*VLOOKUP(AC23,$R$23:$S$26,2,FALSE)+AF23*VLOOKUP(AE23,$R$23:$S$26,2,FALSE))</f>
        <v>#VALUE!</v>
      </c>
      <c r="AH23" s="11" t="str">
        <f>AC23&amp;AD23&amp;AE23&amp;AF23</f>
        <v/>
      </c>
      <c r="AI23" s="18" t="str">
        <f>AH23</f>
        <v/>
      </c>
      <c r="AJ23" s="30" t="str">
        <f>IF(AI23="","",RANK(AB23,$AB$23:$AB$26,1))</f>
        <v/>
      </c>
      <c r="AK23" s="20" t="str">
        <f>IF(AI23="","",RANK(AA23,$AA$23:$AA$26))</f>
        <v/>
      </c>
      <c r="AL23" s="31" t="str">
        <f>IF(AI23="","",RANK(AG23,$AG$23:$AG$26,1))</f>
        <v/>
      </c>
      <c r="AM23" s="32" t="str">
        <f>IF(AJ23="","",AJ23+AK23/10+AL23/100)</f>
        <v/>
      </c>
      <c r="AN23" s="35" t="str">
        <f>IF(AM23="","",1)</f>
        <v/>
      </c>
    </row>
    <row r="24" spans="1:40" ht="25.5" customHeight="1" thickBot="1">
      <c r="A24" s="40" t="s">
        <v>46</v>
      </c>
      <c r="I24" s="37"/>
      <c r="J24" s="151"/>
      <c r="K24" s="166" t="s">
        <v>130</v>
      </c>
      <c r="L24" s="39" t="str">
        <f>IF(J24&lt;&gt;"","表示","非表示")</f>
        <v>非表示</v>
      </c>
      <c r="M24" s="37"/>
      <c r="N24" s="37"/>
      <c r="O24" s="37"/>
      <c r="P24" s="37"/>
      <c r="R24" s="22" t="s">
        <v>3</v>
      </c>
      <c r="S24" s="10">
        <v>517400</v>
      </c>
      <c r="T24" s="23">
        <v>19200</v>
      </c>
      <c r="U24" s="24" t="s">
        <v>3</v>
      </c>
      <c r="V24" s="2">
        <f>ROUNDDOWN($B$29/T24,0)</f>
        <v>0</v>
      </c>
      <c r="W24" s="3">
        <f>$B$29-T24*V24</f>
        <v>0</v>
      </c>
      <c r="X24" s="1" t="str" cm="1">
        <f t="array" ref="X24">IF(W24=0,"",MIN(IF($T$23:$T$26&gt;=W24,$T$23:$T$26,"")))</f>
        <v/>
      </c>
      <c r="Y24" s="3" t="str">
        <f t="shared" ref="Y24:Y26" si="34">IF(W24=0,"",VLOOKUP(X24,$T$23:$U$26,2,FALSE))</f>
        <v/>
      </c>
      <c r="Z24" s="1" t="str">
        <f>IF(W24=0,"",1)</f>
        <v/>
      </c>
      <c r="AA24" s="3">
        <f t="shared" si="32"/>
        <v>0</v>
      </c>
      <c r="AB24" s="1">
        <f t="shared" si="33"/>
        <v>0</v>
      </c>
      <c r="AC24" s="18" t="str">
        <f t="shared" ref="AC24:AC26" si="35">IF(V24=0,Y24,R24)</f>
        <v/>
      </c>
      <c r="AD24" s="3" t="str">
        <f t="shared" ref="AD24:AD26" si="36">IF(V24=0,Z24,IF(U24=Y24,V24+Z24,V24))</f>
        <v/>
      </c>
      <c r="AE24" s="3" t="str">
        <f t="shared" ref="AE24:AE26" si="37">IF(V24=0,"",(IF(U24=Y24,"",Y24)))</f>
        <v/>
      </c>
      <c r="AF24" s="3" t="str">
        <f t="shared" ref="AF24:AF26" si="38">IF(V24=0,"",(IF(U24=Y24,"",Z24)))</f>
        <v/>
      </c>
      <c r="AG24" s="18" t="e">
        <f t="shared" ref="AG24:AG25" si="39">IF(AE24="",AD24*VLOOKUP(AC24,$R$23:$S$26,2,FALSE),AD24*VLOOKUP(AC24,$R$23:$S$26,2,FALSE)+AF24*VLOOKUP(AE24,$R$23:$S$26,2,FALSE))</f>
        <v>#VALUE!</v>
      </c>
      <c r="AH24" s="11" t="str">
        <f t="shared" ref="AH24:AH26" si="40">AC24&amp;AD24&amp;AE24&amp;AF24</f>
        <v/>
      </c>
      <c r="AI24" s="18" t="str">
        <f>IF(AH24=AI23,"",AH24)</f>
        <v/>
      </c>
      <c r="AJ24" s="30" t="str">
        <f t="shared" ref="AJ24:AJ26" si="41">IF(AI24="","",RANK(AB24,$AB$23:$AB$26,1))</f>
        <v/>
      </c>
      <c r="AK24" s="20" t="str">
        <f t="shared" ref="AK24:AK26" si="42">IF(AI24="","",RANK(AA24,$AA$23:$AA$26))</f>
        <v/>
      </c>
      <c r="AL24" s="31" t="str">
        <f t="shared" ref="AL24:AL26" si="43">IF(AI24="","",RANK(AG24,$AG$23:$AG$26,1))</f>
        <v/>
      </c>
      <c r="AM24" s="32" t="str">
        <f t="shared" ref="AM24:AM25" si="44">IF(AJ24="","",AJ24+AK24/10+AL24/100)</f>
        <v/>
      </c>
      <c r="AN24" s="35" t="str">
        <f>IF(AM24="","",1)</f>
        <v/>
      </c>
    </row>
    <row r="25" spans="1:40" ht="25.5" customHeight="1" thickTop="1" thickBot="1">
      <c r="B25" s="63" t="s">
        <v>45</v>
      </c>
      <c r="C25" s="66"/>
      <c r="D25" s="42" t="s">
        <v>44</v>
      </c>
      <c r="I25" s="37"/>
      <c r="J25" s="152"/>
      <c r="K25" s="166" t="s">
        <v>131</v>
      </c>
      <c r="L25" s="39"/>
      <c r="M25" s="37"/>
      <c r="N25" s="37"/>
      <c r="O25" s="37"/>
      <c r="P25" s="37"/>
      <c r="R25" s="22" t="s">
        <v>4</v>
      </c>
      <c r="S25" s="10">
        <v>541400</v>
      </c>
      <c r="T25" s="23">
        <v>16900</v>
      </c>
      <c r="U25" s="24" t="s">
        <v>4</v>
      </c>
      <c r="V25" s="2">
        <f>ROUNDDOWN($B$29/T25,0)</f>
        <v>0</v>
      </c>
      <c r="W25" s="3">
        <f>$B$29-T25*V25</f>
        <v>0</v>
      </c>
      <c r="X25" s="1" t="str" cm="1">
        <f t="array" ref="X25">IF(W25=0,"",MIN(IF($T$23:$T$26&gt;=W25,$T$23:$T$26,"")))</f>
        <v/>
      </c>
      <c r="Y25" s="3" t="str">
        <f t="shared" si="34"/>
        <v/>
      </c>
      <c r="Z25" s="1" t="str">
        <f t="shared" si="31"/>
        <v/>
      </c>
      <c r="AA25" s="3">
        <f t="shared" si="32"/>
        <v>0</v>
      </c>
      <c r="AB25" s="1">
        <f t="shared" si="33"/>
        <v>0</v>
      </c>
      <c r="AC25" s="18" t="str">
        <f t="shared" si="35"/>
        <v/>
      </c>
      <c r="AD25" s="3" t="str">
        <f t="shared" si="36"/>
        <v/>
      </c>
      <c r="AE25" s="3" t="str">
        <f t="shared" si="37"/>
        <v/>
      </c>
      <c r="AF25" s="3" t="str">
        <f t="shared" si="38"/>
        <v/>
      </c>
      <c r="AG25" s="18" t="e">
        <f t="shared" si="39"/>
        <v>#VALUE!</v>
      </c>
      <c r="AH25" s="11" t="str">
        <f t="shared" si="40"/>
        <v/>
      </c>
      <c r="AI25" s="18" t="str">
        <f>IF(OR(AH25=AI23,AH25=AI24),"",AH25)</f>
        <v/>
      </c>
      <c r="AJ25" s="30" t="str">
        <f t="shared" si="41"/>
        <v/>
      </c>
      <c r="AK25" s="20" t="str">
        <f t="shared" si="42"/>
        <v/>
      </c>
      <c r="AL25" s="31" t="str">
        <f t="shared" si="43"/>
        <v/>
      </c>
      <c r="AM25" s="32" t="str">
        <f t="shared" si="44"/>
        <v/>
      </c>
      <c r="AN25" s="35" t="str">
        <f>IF(AM25="","",1)</f>
        <v/>
      </c>
    </row>
    <row r="26" spans="1:40" ht="25.5" customHeight="1" thickTop="1" thickBot="1">
      <c r="I26" s="37"/>
      <c r="J26" s="38"/>
      <c r="K26" s="38"/>
      <c r="L26" s="37"/>
      <c r="M26" s="37"/>
      <c r="N26" s="37"/>
      <c r="O26" s="37"/>
      <c r="P26" s="37"/>
      <c r="R26" s="25" t="s">
        <v>52</v>
      </c>
      <c r="S26" s="16">
        <v>420000</v>
      </c>
      <c r="T26" s="26">
        <v>14000</v>
      </c>
      <c r="U26" s="27" t="s">
        <v>52</v>
      </c>
      <c r="V26" s="2">
        <f>ROUNDDOWN($B$29/T26,0)</f>
        <v>0</v>
      </c>
      <c r="W26" s="3">
        <f>$B$29-T26*V26</f>
        <v>0</v>
      </c>
      <c r="X26" s="1" t="str" cm="1">
        <f t="array" ref="X26">IF(W26=0,"",MIN(IF($T$23:$T$26&gt;=W26,$T$23:$T$26,"")))</f>
        <v/>
      </c>
      <c r="Y26" s="3" t="str">
        <f t="shared" si="34"/>
        <v/>
      </c>
      <c r="Z26" s="1" t="str">
        <f t="shared" si="31"/>
        <v/>
      </c>
      <c r="AA26" s="3">
        <f t="shared" si="32"/>
        <v>0</v>
      </c>
      <c r="AB26" s="1">
        <f t="shared" si="33"/>
        <v>0</v>
      </c>
      <c r="AC26" s="18" t="str">
        <f t="shared" si="35"/>
        <v/>
      </c>
      <c r="AD26" s="3" t="str">
        <f t="shared" si="36"/>
        <v/>
      </c>
      <c r="AE26" s="3" t="str">
        <f t="shared" si="37"/>
        <v/>
      </c>
      <c r="AF26" s="3" t="str">
        <f t="shared" si="38"/>
        <v/>
      </c>
      <c r="AG26" s="18" t="e">
        <f>IF(AE26="",AD26*VLOOKUP(AC26,$R$23:$S$26,2,FALSE),AD26*VLOOKUP(AC26,$R$23:$S$26,2,FALSE)+AF26*VLOOKUP(AE26,$R$23:$S$26,2,FALSE))</f>
        <v>#VALUE!</v>
      </c>
      <c r="AH26" s="11" t="str">
        <f t="shared" si="40"/>
        <v/>
      </c>
      <c r="AI26" s="18" t="str">
        <f>IF(OR(AH26=AI23,AH26=AI24,AH26=AI25),"",AH26)</f>
        <v/>
      </c>
      <c r="AJ26" s="30" t="str">
        <f t="shared" si="41"/>
        <v/>
      </c>
      <c r="AK26" s="20" t="str">
        <f t="shared" si="42"/>
        <v/>
      </c>
      <c r="AL26" s="31" t="str">
        <f t="shared" si="43"/>
        <v/>
      </c>
      <c r="AM26" s="34" t="str">
        <f>IF(AJ26="","",AJ26+AK26/10+AL26/100)</f>
        <v/>
      </c>
      <c r="AN26" s="35" t="str">
        <f>IF(AM26="","",1)</f>
        <v/>
      </c>
    </row>
    <row r="27" spans="1:40" ht="25.5" customHeight="1">
      <c r="I27" s="37"/>
      <c r="J27" s="54" t="str">
        <f>IF(J23="✓"," TEL：","")</f>
        <v/>
      </c>
      <c r="K27" s="55" t="str">
        <f>IF(J23="✓"," 0480-31-6788
","")</f>
        <v/>
      </c>
      <c r="L27" s="56"/>
      <c r="M27" s="37"/>
      <c r="N27" s="37"/>
      <c r="O27" s="37"/>
      <c r="P27" s="37"/>
    </row>
    <row r="28" spans="1:40" ht="25.5" customHeight="1">
      <c r="B28" s="168" t="s">
        <v>7</v>
      </c>
      <c r="C28" s="168"/>
      <c r="I28" s="37"/>
      <c r="J28" s="54" t="str">
        <f>IF(J23="✓","Mail：","")</f>
        <v/>
      </c>
      <c r="K28" s="163" t="s">
        <v>50</v>
      </c>
      <c r="L28" s="56"/>
      <c r="M28" s="37"/>
      <c r="N28" s="37"/>
      <c r="O28" s="37"/>
      <c r="P28" s="37"/>
    </row>
    <row r="29" spans="1:40" ht="25.5" customHeight="1">
      <c r="B29" s="33">
        <f>(C25-20)*C20*C21*C22</f>
        <v>0</v>
      </c>
      <c r="C29" s="7" t="s">
        <v>0</v>
      </c>
      <c r="I29" s="37"/>
      <c r="J29" s="47"/>
      <c r="K29" s="163" t="s">
        <v>133</v>
      </c>
      <c r="M29" s="37"/>
      <c r="N29" s="37"/>
      <c r="O29" s="37"/>
      <c r="P29" s="37"/>
    </row>
    <row r="30" spans="1:40" ht="25.5" customHeight="1">
      <c r="B30" s="44" t="str">
        <f>IF(OR(COUNTA(A15:A16)=0,COUNTA(A15:A16)&gt;1),"",IF(A15="✓","※建物広さと室内温度から算出しています。","※環境改善をしたい部分の広さと室内温度から算出しています。"))</f>
        <v/>
      </c>
      <c r="L30" s="37"/>
      <c r="M30" s="37"/>
      <c r="N30" s="37"/>
      <c r="O30" s="37"/>
      <c r="P30" s="37"/>
    </row>
    <row r="31" spans="1:40" ht="25.5" customHeight="1">
      <c r="J31" s="36"/>
      <c r="K31" s="36"/>
    </row>
    <row r="32" spans="1:40" ht="25.5" customHeight="1">
      <c r="J32" s="36"/>
      <c r="K32" s="36"/>
    </row>
    <row r="33" spans="10:11" ht="25.5" customHeight="1">
      <c r="J33" s="36"/>
      <c r="K33" s="36"/>
    </row>
    <row r="34" spans="10:11" ht="25.5" customHeight="1">
      <c r="J34" s="36"/>
      <c r="K34" s="36"/>
    </row>
    <row r="35" spans="10:11" ht="25.5" customHeight="1">
      <c r="J35" s="36"/>
      <c r="K35" s="36"/>
    </row>
    <row r="36" spans="10:11" ht="25.5" customHeight="1"/>
    <row r="37" spans="10:11" ht="25.5" customHeight="1"/>
    <row r="38" spans="10:11" ht="25.5" customHeight="1"/>
    <row r="39" spans="10:11" ht="25.5" customHeight="1"/>
  </sheetData>
  <sheetProtection algorithmName="SHA-512" hashValue="yWpXaLdLcO8U71MrSiVByI8+Rej5ZOOkffN7eZCD+ZPeUALh1cai7DDEL+lQYARrDL5pEIRJMMSd3BaG8A4F0Q==" saltValue="u3Ou7h55eFBrIoAGiiaonA==" spinCount="100000" sheet="1" selectLockedCells="1"/>
  <mergeCells count="28">
    <mergeCell ref="AC2:AG2"/>
    <mergeCell ref="AC14:AG14"/>
    <mergeCell ref="J3:P3"/>
    <mergeCell ref="O6:P6"/>
    <mergeCell ref="J6:M6"/>
    <mergeCell ref="J7:K7"/>
    <mergeCell ref="J8:K8"/>
    <mergeCell ref="P7:P8"/>
    <mergeCell ref="O7:O8"/>
    <mergeCell ref="B9:E9"/>
    <mergeCell ref="B16:E16"/>
    <mergeCell ref="B15:E15"/>
    <mergeCell ref="J18:K18"/>
    <mergeCell ref="J17:K17"/>
    <mergeCell ref="J13:K13"/>
    <mergeCell ref="J12:K12"/>
    <mergeCell ref="B11:E11"/>
    <mergeCell ref="B10:E10"/>
    <mergeCell ref="AC22:AG22"/>
    <mergeCell ref="B28:C28"/>
    <mergeCell ref="J11:M11"/>
    <mergeCell ref="J16:M16"/>
    <mergeCell ref="O11:P11"/>
    <mergeCell ref="O16:P16"/>
    <mergeCell ref="P17:P18"/>
    <mergeCell ref="P12:P13"/>
    <mergeCell ref="O17:O18"/>
    <mergeCell ref="O12:O13"/>
  </mergeCells>
  <phoneticPr fontId="3"/>
  <conditionalFormatting sqref="A9">
    <cfRule type="expression" dxfId="37" priority="8">
      <formula>COUNTA($A$9:$A$11)=1</formula>
    </cfRule>
  </conditionalFormatting>
  <conditionalFormatting sqref="A9:A11">
    <cfRule type="expression" dxfId="36" priority="41">
      <formula>OR(COUNTA($A$9:$A$11)=0,COUNTA($A$9:$A$11)&gt;1)</formula>
    </cfRule>
  </conditionalFormatting>
  <conditionalFormatting sqref="A10">
    <cfRule type="expression" dxfId="35" priority="7">
      <formula>COUNTA($A$9:$A$11)=1</formula>
    </cfRule>
  </conditionalFormatting>
  <conditionalFormatting sqref="A11">
    <cfRule type="expression" dxfId="34" priority="5">
      <formula>COUNTA($A$9:$A$11)=1</formula>
    </cfRule>
  </conditionalFormatting>
  <conditionalFormatting sqref="A15">
    <cfRule type="expression" dxfId="33" priority="16">
      <formula>COUNTA($A$15:$A$16)&lt;&gt;0</formula>
    </cfRule>
  </conditionalFormatting>
  <conditionalFormatting sqref="A15:A16">
    <cfRule type="expression" dxfId="32" priority="43">
      <formula>OR(COUNTA($A$15:$A$16)=0,COUNTA($A$15:$A$16)=2)</formula>
    </cfRule>
  </conditionalFormatting>
  <conditionalFormatting sqref="A16">
    <cfRule type="expression" dxfId="31" priority="11">
      <formula>COUNTA($A$15:$A$16)&lt;&gt;0</formula>
    </cfRule>
  </conditionalFormatting>
  <conditionalFormatting sqref="A13:H14">
    <cfRule type="expression" dxfId="30" priority="23">
      <formula>COUNTA($A$15:$A$16)&lt;&gt;0</formula>
    </cfRule>
  </conditionalFormatting>
  <conditionalFormatting sqref="A13:H25">
    <cfRule type="expression" dxfId="29" priority="39">
      <formula>COUNTA($A$9:$A$11)&lt;&gt;1</formula>
    </cfRule>
  </conditionalFormatting>
  <conditionalFormatting sqref="A19:H19">
    <cfRule type="expression" dxfId="28" priority="25">
      <formula>COUNTA($C$20:$C$22)&lt;&gt;0</formula>
    </cfRule>
  </conditionalFormatting>
  <conditionalFormatting sqref="A19:H26">
    <cfRule type="expression" dxfId="27" priority="38">
      <formula>COUNTA($A$15:$A$16)&lt;&gt;1</formula>
    </cfRule>
  </conditionalFormatting>
  <conditionalFormatting sqref="A24:H24">
    <cfRule type="expression" dxfId="26" priority="14">
      <formula>$C$25&lt;&gt;""</formula>
    </cfRule>
  </conditionalFormatting>
  <conditionalFormatting sqref="A24:H26">
    <cfRule type="expression" dxfId="25" priority="37">
      <formula>COUNTA($C$20:$C$22)&lt;&gt;3</formula>
    </cfRule>
  </conditionalFormatting>
  <conditionalFormatting sqref="B20:B22">
    <cfRule type="expression" dxfId="24" priority="21">
      <formula>COUNTA($C$20:$C$22)&lt;&gt;0</formula>
    </cfRule>
  </conditionalFormatting>
  <conditionalFormatting sqref="B25">
    <cfRule type="expression" dxfId="23" priority="18">
      <formula>$C$25&lt;&gt;""</formula>
    </cfRule>
  </conditionalFormatting>
  <conditionalFormatting sqref="B15:E16">
    <cfRule type="expression" dxfId="22" priority="22">
      <formula>COUNTA($A$15:$A$16)&lt;&gt;0</formula>
    </cfRule>
  </conditionalFormatting>
  <conditionalFormatting sqref="C20:C22">
    <cfRule type="expression" dxfId="21" priority="19">
      <formula>COUNTA($C$20:$C$22)&lt;&gt;0</formula>
    </cfRule>
    <cfRule type="cellIs" dxfId="20" priority="45" operator="equal">
      <formula>""</formula>
    </cfRule>
  </conditionalFormatting>
  <conditionalFormatting sqref="C21">
    <cfRule type="expression" dxfId="19" priority="10">
      <formula>COUNTA($C$20:$C$22)&lt;&gt;0</formula>
    </cfRule>
  </conditionalFormatting>
  <conditionalFormatting sqref="C22">
    <cfRule type="expression" dxfId="18" priority="9">
      <formula>COUNTA($C$20:$C$22)&lt;&gt;0</formula>
    </cfRule>
  </conditionalFormatting>
  <conditionalFormatting sqref="C25">
    <cfRule type="expression" dxfId="17" priority="17">
      <formula>$C$25&lt;&gt;""</formula>
    </cfRule>
    <cfRule type="cellIs" dxfId="16" priority="44" operator="equal">
      <formula>""</formula>
    </cfRule>
  </conditionalFormatting>
  <conditionalFormatting sqref="D20:D22">
    <cfRule type="expression" dxfId="15" priority="20">
      <formula>COUNTA($C$20:$C$22)&lt;&gt;0</formula>
    </cfRule>
  </conditionalFormatting>
  <conditionalFormatting sqref="D25">
    <cfRule type="expression" dxfId="14" priority="15">
      <formula>$C$25&lt;&gt;""</formula>
    </cfRule>
  </conditionalFormatting>
  <conditionalFormatting sqref="J23">
    <cfRule type="expression" dxfId="13" priority="4">
      <formula>COUNTA($J$23:$J$25)&gt;=1</formula>
    </cfRule>
  </conditionalFormatting>
  <conditionalFormatting sqref="J23:J25">
    <cfRule type="expression" dxfId="12" priority="40">
      <formula>COUNTA($J$23:$J$25)=0</formula>
    </cfRule>
  </conditionalFormatting>
  <conditionalFormatting sqref="J24">
    <cfRule type="expression" dxfId="11" priority="3">
      <formula>COUNTA($J$23:$J$25)&gt;=1</formula>
    </cfRule>
  </conditionalFormatting>
  <conditionalFormatting sqref="J25">
    <cfRule type="expression" dxfId="10" priority="2">
      <formula>COUNTA($J$23:$J$25)&gt;=1</formula>
    </cfRule>
  </conditionalFormatting>
  <conditionalFormatting sqref="J8:M8">
    <cfRule type="expression" dxfId="9" priority="27">
      <formula>$J$8=""</formula>
    </cfRule>
  </conditionalFormatting>
  <conditionalFormatting sqref="J11:M12">
    <cfRule type="expression" dxfId="8" priority="36">
      <formula>$J$12=""</formula>
    </cfRule>
  </conditionalFormatting>
  <conditionalFormatting sqref="J13:M13">
    <cfRule type="expression" dxfId="7" priority="35">
      <formula>$J$13=""</formula>
    </cfRule>
  </conditionalFormatting>
  <conditionalFormatting sqref="J16:M17">
    <cfRule type="expression" dxfId="6" priority="31">
      <formula>$J$17=""</formula>
    </cfRule>
  </conditionalFormatting>
  <conditionalFormatting sqref="J18:M18">
    <cfRule type="expression" dxfId="5" priority="29">
      <formula>$J$18=""</formula>
    </cfRule>
  </conditionalFormatting>
  <conditionalFormatting sqref="J1:P21 J22 L22:P22 J23:P30 A27:H30">
    <cfRule type="expression" dxfId="4" priority="1">
      <formula>COUNTA($A$9:$A$11,$A$15:$A$16,$C$20:$C$22,$C$25)&lt;&gt;6</formula>
    </cfRule>
  </conditionalFormatting>
  <conditionalFormatting sqref="K28">
    <cfRule type="expression" dxfId="3" priority="13">
      <formula>$J$23=""</formula>
    </cfRule>
  </conditionalFormatting>
  <conditionalFormatting sqref="K29">
    <cfRule type="expression" dxfId="2" priority="12">
      <formula>$J$25=""</formula>
    </cfRule>
  </conditionalFormatting>
  <conditionalFormatting sqref="O11:P13">
    <cfRule type="expression" dxfId="1" priority="34">
      <formula>$O$12=""</formula>
    </cfRule>
  </conditionalFormatting>
  <conditionalFormatting sqref="O16:P18">
    <cfRule type="expression" dxfId="0" priority="28">
      <formula>$O$17=""</formula>
    </cfRule>
  </conditionalFormatting>
  <dataValidations count="3">
    <dataValidation type="list" allowBlank="1" showInputMessage="1" showErrorMessage="1" sqref="A9:A11 A15:A16 J23:J25" xr:uid="{DB7C63BC-D59F-49ED-8C14-C943926D3A94}">
      <formula1>"✓"</formula1>
    </dataValidation>
    <dataValidation type="decimal" allowBlank="1" showInputMessage="1" showErrorMessage="1" sqref="C20:C22" xr:uid="{A3078743-1631-4F21-BCB0-E2295EEAF315}">
      <formula1>0</formula1>
      <formula2>10000</formula2>
    </dataValidation>
    <dataValidation type="decimal" allowBlank="1" showInputMessage="1" showErrorMessage="1" sqref="C25" xr:uid="{9182B324-594F-4DE4-A086-0D7638DCC6EC}">
      <formula1>20.01</formula1>
      <formula2>100</formula2>
    </dataValidation>
  </dataValidations>
  <hyperlinks>
    <hyperlink ref="K28" r:id="rId1" tooltip=" " xr:uid="{FB0CF7A2-0535-4EDD-A00B-65BF470E8685}"/>
    <hyperlink ref="K29" location="Sheet3!A1" tooltip=" " display="■製品スペック比較表に飛ぶ■" xr:uid="{E3C4DF18-6BBF-40DF-9AE3-3E46864E118A}"/>
  </hyperlinks>
  <pageMargins left="0.25" right="0.25" top="0.75" bottom="0.45" header="0.3" footer="0.3"/>
  <pageSetup paperSize="9" orientation="portrait" horizontalDpi="0" verticalDpi="0" r:id="rId2"/>
  <ignoredErrors>
    <ignoredError sqref="J7:O8" evalError="1"/>
  </ignoredError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4BFEA-DCB0-44D0-AAC5-EDEFCCC0B187}">
  <sheetPr codeName="Sheet3">
    <pageSetUpPr fitToPage="1"/>
  </sheetPr>
  <dimension ref="A1:W15"/>
  <sheetViews>
    <sheetView showGridLines="0" zoomScale="85" zoomScaleNormal="85" workbookViewId="0">
      <selection activeCell="P13" sqref="P13"/>
    </sheetView>
  </sheetViews>
  <sheetFormatPr defaultRowHeight="35.25" customHeight="1"/>
  <cols>
    <col min="1" max="1" width="16" style="67" customWidth="1"/>
    <col min="2" max="2" width="8.625" style="67" customWidth="1"/>
    <col min="3" max="3" width="18.375" style="67" customWidth="1"/>
    <col min="4" max="4" width="19.125" style="67" customWidth="1"/>
    <col min="5" max="5" width="9.75" style="67" customWidth="1"/>
    <col min="6" max="6" width="8.125" style="67" customWidth="1"/>
    <col min="7" max="10" width="6.75" style="67" customWidth="1"/>
    <col min="11" max="11" width="7.25" style="67" customWidth="1"/>
    <col min="12" max="13" width="7" style="67" bestFit="1" customWidth="1"/>
    <col min="14" max="14" width="7.375" style="67" customWidth="1"/>
    <col min="15" max="16" width="7.875" style="67" customWidth="1"/>
    <col min="17" max="17" width="3.125" style="67" customWidth="1"/>
    <col min="18" max="18" width="7.75" style="67" customWidth="1"/>
    <col min="19" max="16384" width="9" style="67"/>
  </cols>
  <sheetData>
    <row r="1" spans="1:23" ht="71.25" customHeight="1" thickBot="1">
      <c r="A1" s="180"/>
      <c r="B1" s="180"/>
      <c r="C1" s="180"/>
      <c r="D1" s="180"/>
      <c r="E1" s="180"/>
      <c r="F1" s="180"/>
      <c r="G1" s="180"/>
      <c r="H1" s="180"/>
      <c r="I1" s="180"/>
      <c r="J1" s="180"/>
      <c r="K1" s="180"/>
      <c r="L1" s="180"/>
      <c r="M1" s="180"/>
      <c r="N1" s="180"/>
      <c r="O1" s="180"/>
      <c r="P1" s="180"/>
      <c r="Q1" s="153"/>
    </row>
    <row r="2" spans="1:23" ht="35.25" customHeight="1" thickBot="1">
      <c r="A2" s="183" t="s">
        <v>57</v>
      </c>
      <c r="B2" s="183" t="s">
        <v>58</v>
      </c>
      <c r="C2" s="185" t="s">
        <v>59</v>
      </c>
      <c r="D2" s="187" t="s">
        <v>60</v>
      </c>
      <c r="E2" s="181" t="s">
        <v>61</v>
      </c>
      <c r="F2" s="181" t="s">
        <v>62</v>
      </c>
      <c r="G2" s="185" t="s">
        <v>63</v>
      </c>
      <c r="H2" s="187" t="s">
        <v>64</v>
      </c>
      <c r="I2" s="185"/>
      <c r="J2" s="185"/>
      <c r="K2" s="192" t="s">
        <v>65</v>
      </c>
      <c r="L2" s="194" t="s">
        <v>66</v>
      </c>
      <c r="M2" s="196" t="s">
        <v>67</v>
      </c>
      <c r="N2" s="197" t="s">
        <v>68</v>
      </c>
      <c r="O2" s="189" t="s">
        <v>69</v>
      </c>
      <c r="P2" s="189" t="s">
        <v>70</v>
      </c>
    </row>
    <row r="3" spans="1:23" ht="35.25" customHeight="1" thickBot="1">
      <c r="A3" s="184"/>
      <c r="B3" s="184"/>
      <c r="C3" s="186"/>
      <c r="D3" s="188"/>
      <c r="E3" s="182"/>
      <c r="F3" s="182"/>
      <c r="G3" s="191"/>
      <c r="H3" s="68" t="s">
        <v>71</v>
      </c>
      <c r="I3" s="68" t="s">
        <v>72</v>
      </c>
      <c r="J3" s="68" t="s">
        <v>73</v>
      </c>
      <c r="K3" s="193"/>
      <c r="L3" s="195"/>
      <c r="M3" s="188"/>
      <c r="N3" s="184"/>
      <c r="O3" s="190"/>
      <c r="P3" s="190"/>
      <c r="R3" s="179" t="s">
        <v>122</v>
      </c>
      <c r="S3" s="179"/>
      <c r="T3" s="179"/>
      <c r="U3" s="179"/>
      <c r="V3" s="179"/>
      <c r="W3" s="179"/>
    </row>
    <row r="4" spans="1:23" ht="39.75" customHeight="1">
      <c r="A4" s="69" t="s">
        <v>74</v>
      </c>
      <c r="B4" s="70"/>
      <c r="C4" s="71" t="s">
        <v>15</v>
      </c>
      <c r="D4" s="72" t="s">
        <v>75</v>
      </c>
      <c r="E4" s="73" t="s">
        <v>76</v>
      </c>
      <c r="F4" s="74" t="s">
        <v>77</v>
      </c>
      <c r="G4" s="75" t="s">
        <v>78</v>
      </c>
      <c r="H4" s="76">
        <v>2180</v>
      </c>
      <c r="I4" s="77">
        <v>1290</v>
      </c>
      <c r="J4" s="78">
        <v>1290</v>
      </c>
      <c r="K4" s="75" t="s">
        <v>79</v>
      </c>
      <c r="L4" s="75">
        <v>12</v>
      </c>
      <c r="M4" s="73">
        <v>30000</v>
      </c>
      <c r="N4" s="74">
        <v>20.5</v>
      </c>
      <c r="O4" s="79">
        <v>70</v>
      </c>
      <c r="P4" s="79">
        <v>4</v>
      </c>
      <c r="R4" s="159" t="s">
        <v>124</v>
      </c>
    </row>
    <row r="5" spans="1:23" ht="39.75" customHeight="1">
      <c r="A5" s="80" t="s">
        <v>74</v>
      </c>
      <c r="B5" s="81"/>
      <c r="C5" s="82" t="s">
        <v>16</v>
      </c>
      <c r="D5" s="83" t="s">
        <v>80</v>
      </c>
      <c r="E5" s="84" t="s">
        <v>76</v>
      </c>
      <c r="F5" s="85" t="s">
        <v>81</v>
      </c>
      <c r="G5" s="85" t="s">
        <v>82</v>
      </c>
      <c r="H5" s="86">
        <v>1960</v>
      </c>
      <c r="I5" s="87">
        <v>1120</v>
      </c>
      <c r="J5" s="88">
        <v>1120</v>
      </c>
      <c r="K5" s="85" t="s">
        <v>83</v>
      </c>
      <c r="L5" s="85">
        <v>12</v>
      </c>
      <c r="M5" s="84">
        <v>26000</v>
      </c>
      <c r="N5" s="85">
        <v>16.399999999999999</v>
      </c>
      <c r="O5" s="89">
        <v>66</v>
      </c>
      <c r="P5" s="89">
        <v>9</v>
      </c>
      <c r="S5" s="160" t="s">
        <v>123</v>
      </c>
    </row>
    <row r="6" spans="1:23" ht="39.75" customHeight="1" thickBot="1">
      <c r="A6" s="90" t="s">
        <v>74</v>
      </c>
      <c r="B6" s="91"/>
      <c r="C6" s="92" t="s">
        <v>17</v>
      </c>
      <c r="D6" s="93" t="s">
        <v>84</v>
      </c>
      <c r="E6" s="94" t="s">
        <v>76</v>
      </c>
      <c r="F6" s="85" t="s">
        <v>81</v>
      </c>
      <c r="G6" s="95" t="s">
        <v>82</v>
      </c>
      <c r="H6" s="96">
        <v>1960</v>
      </c>
      <c r="I6" s="97">
        <v>1120</v>
      </c>
      <c r="J6" s="98">
        <v>1120</v>
      </c>
      <c r="K6" s="95" t="s">
        <v>85</v>
      </c>
      <c r="L6" s="95">
        <v>12</v>
      </c>
      <c r="M6" s="94">
        <v>22000</v>
      </c>
      <c r="N6" s="95">
        <v>16.399999999999999</v>
      </c>
      <c r="O6" s="99">
        <v>66</v>
      </c>
      <c r="P6" s="99">
        <v>4</v>
      </c>
      <c r="S6" s="165" t="s">
        <v>50</v>
      </c>
    </row>
    <row r="7" spans="1:23" ht="39.75" customHeight="1">
      <c r="A7" s="100" t="s">
        <v>86</v>
      </c>
      <c r="B7" s="70"/>
      <c r="C7" s="101" t="s">
        <v>87</v>
      </c>
      <c r="D7" s="102" t="s">
        <v>88</v>
      </c>
      <c r="E7" s="103" t="s">
        <v>76</v>
      </c>
      <c r="F7" s="104" t="s">
        <v>89</v>
      </c>
      <c r="G7" s="104" t="s">
        <v>90</v>
      </c>
      <c r="H7" s="105">
        <v>2005</v>
      </c>
      <c r="I7" s="106">
        <v>1838</v>
      </c>
      <c r="J7" s="107">
        <v>1000</v>
      </c>
      <c r="K7" s="104" t="s">
        <v>91</v>
      </c>
      <c r="L7" s="104">
        <v>10</v>
      </c>
      <c r="M7" s="103">
        <v>38000</v>
      </c>
      <c r="N7" s="104">
        <v>14</v>
      </c>
      <c r="O7" s="108">
        <v>60</v>
      </c>
      <c r="P7" s="108">
        <v>7</v>
      </c>
    </row>
    <row r="8" spans="1:23" ht="39.75" customHeight="1">
      <c r="A8" s="109" t="s">
        <v>86</v>
      </c>
      <c r="B8" s="81"/>
      <c r="C8" s="110" t="s">
        <v>92</v>
      </c>
      <c r="D8" s="111" t="s">
        <v>93</v>
      </c>
      <c r="E8" s="112" t="s">
        <v>76</v>
      </c>
      <c r="F8" s="113" t="s">
        <v>94</v>
      </c>
      <c r="G8" s="113" t="s">
        <v>95</v>
      </c>
      <c r="H8" s="114">
        <v>1650</v>
      </c>
      <c r="I8" s="115">
        <v>1276</v>
      </c>
      <c r="J8" s="116">
        <v>770</v>
      </c>
      <c r="K8" s="113" t="s">
        <v>96</v>
      </c>
      <c r="L8" s="113">
        <v>10</v>
      </c>
      <c r="M8" s="112">
        <v>27800</v>
      </c>
      <c r="N8" s="113">
        <v>11.8</v>
      </c>
      <c r="O8" s="117">
        <v>60</v>
      </c>
      <c r="P8" s="117">
        <v>7</v>
      </c>
    </row>
    <row r="9" spans="1:23" ht="39.75" customHeight="1">
      <c r="A9" s="109" t="s">
        <v>86</v>
      </c>
      <c r="B9" s="81"/>
      <c r="C9" s="110" t="s">
        <v>97</v>
      </c>
      <c r="D9" s="111" t="s">
        <v>98</v>
      </c>
      <c r="E9" s="112" t="s">
        <v>99</v>
      </c>
      <c r="F9" s="113" t="s">
        <v>100</v>
      </c>
      <c r="G9" s="113" t="s">
        <v>101</v>
      </c>
      <c r="H9" s="114">
        <v>1820</v>
      </c>
      <c r="I9" s="115">
        <v>1550</v>
      </c>
      <c r="J9" s="116">
        <v>940</v>
      </c>
      <c r="K9" s="113" t="s">
        <v>102</v>
      </c>
      <c r="L9" s="113">
        <v>10</v>
      </c>
      <c r="M9" s="112">
        <v>27700</v>
      </c>
      <c r="N9" s="113">
        <v>9.4</v>
      </c>
      <c r="O9" s="117">
        <v>58</v>
      </c>
      <c r="P9" s="117">
        <v>3</v>
      </c>
    </row>
    <row r="10" spans="1:23" ht="39.75" customHeight="1" thickBot="1">
      <c r="A10" s="118" t="s">
        <v>86</v>
      </c>
      <c r="B10" s="91"/>
      <c r="C10" s="119" t="s">
        <v>103</v>
      </c>
      <c r="D10" s="120" t="s">
        <v>104</v>
      </c>
      <c r="E10" s="121" t="s">
        <v>99</v>
      </c>
      <c r="F10" s="122" t="s">
        <v>105</v>
      </c>
      <c r="G10" s="122" t="s">
        <v>106</v>
      </c>
      <c r="H10" s="123">
        <v>1650</v>
      </c>
      <c r="I10" s="124">
        <v>1276</v>
      </c>
      <c r="J10" s="125">
        <v>770</v>
      </c>
      <c r="K10" s="122" t="s">
        <v>107</v>
      </c>
      <c r="L10" s="122">
        <v>10</v>
      </c>
      <c r="M10" s="121">
        <v>16900</v>
      </c>
      <c r="N10" s="122">
        <v>7.9</v>
      </c>
      <c r="O10" s="126">
        <v>64</v>
      </c>
      <c r="P10" s="126">
        <v>3</v>
      </c>
    </row>
    <row r="11" spans="1:23" ht="39.75" customHeight="1">
      <c r="A11" s="127" t="s">
        <v>108</v>
      </c>
      <c r="B11" s="128"/>
      <c r="C11" s="129" t="s">
        <v>109</v>
      </c>
      <c r="D11" s="130" t="s">
        <v>110</v>
      </c>
      <c r="E11" s="131" t="s">
        <v>99</v>
      </c>
      <c r="F11" s="132" t="s">
        <v>105</v>
      </c>
      <c r="G11" s="132" t="s">
        <v>111</v>
      </c>
      <c r="H11" s="133">
        <v>1710</v>
      </c>
      <c r="I11" s="134">
        <v>1125</v>
      </c>
      <c r="J11" s="135">
        <v>680</v>
      </c>
      <c r="K11" s="132" t="s">
        <v>112</v>
      </c>
      <c r="L11" s="132">
        <v>3</v>
      </c>
      <c r="M11" s="131">
        <v>19200</v>
      </c>
      <c r="N11" s="132">
        <v>9.8000000000000007</v>
      </c>
      <c r="O11" s="136">
        <v>61</v>
      </c>
      <c r="P11" s="136">
        <v>5</v>
      </c>
    </row>
    <row r="12" spans="1:23" ht="39.75" customHeight="1" thickBot="1">
      <c r="A12" s="137" t="s">
        <v>108</v>
      </c>
      <c r="B12" s="138"/>
      <c r="C12" s="139" t="s">
        <v>113</v>
      </c>
      <c r="D12" s="140" t="s">
        <v>114</v>
      </c>
      <c r="E12" s="141" t="s">
        <v>99</v>
      </c>
      <c r="F12" s="142" t="s">
        <v>115</v>
      </c>
      <c r="G12" s="142" t="s">
        <v>116</v>
      </c>
      <c r="H12" s="143">
        <v>1430</v>
      </c>
      <c r="I12" s="144">
        <v>900</v>
      </c>
      <c r="J12" s="145">
        <v>600</v>
      </c>
      <c r="K12" s="142" t="s">
        <v>117</v>
      </c>
      <c r="L12" s="142">
        <v>3</v>
      </c>
      <c r="M12" s="141">
        <v>14000</v>
      </c>
      <c r="N12" s="142">
        <v>9.4</v>
      </c>
      <c r="O12" s="146">
        <v>56</v>
      </c>
      <c r="P12" s="146">
        <v>5</v>
      </c>
    </row>
    <row r="13" spans="1:23" ht="15" customHeight="1"/>
    <row r="14" spans="1:23" ht="24.75" customHeight="1">
      <c r="A14" s="147" t="s">
        <v>118</v>
      </c>
    </row>
    <row r="15" spans="1:23" ht="24.75" customHeight="1">
      <c r="A15" s="147" t="s">
        <v>119</v>
      </c>
    </row>
  </sheetData>
  <sheetProtection algorithmName="SHA-512" hashValue="AXk6rJde/PGk4hHTgosTVAsfn7f6n00D10wug8N8UfK3GOsCzxVa0l3JqUhR4ob3OaRmGT9Lig2R7Pq1+J4+3A==" saltValue="NZ2T2kS2G9OBMg885LbFlQ==" spinCount="100000" sheet="1" objects="1" scenarios="1"/>
  <mergeCells count="16">
    <mergeCell ref="R3:W3"/>
    <mergeCell ref="A1:P1"/>
    <mergeCell ref="F2:F3"/>
    <mergeCell ref="A2:A3"/>
    <mergeCell ref="B2:B3"/>
    <mergeCell ref="C2:C3"/>
    <mergeCell ref="D2:D3"/>
    <mergeCell ref="E2:E3"/>
    <mergeCell ref="O2:O3"/>
    <mergeCell ref="P2:P3"/>
    <mergeCell ref="G2:G3"/>
    <mergeCell ref="H2:J2"/>
    <mergeCell ref="K2:K3"/>
    <mergeCell ref="L2:L3"/>
    <mergeCell ref="M2:M3"/>
    <mergeCell ref="N2:N3"/>
  </mergeCells>
  <phoneticPr fontId="3"/>
  <hyperlinks>
    <hyperlink ref="R3" location="Sheet1!A1" display="▶おすすめ算出シートへ戻る" xr:uid="{F8C542B4-6FDE-4287-A334-0A3EE9299485}"/>
    <hyperlink ref="S6" r:id="rId1" xr:uid="{721B8828-D15C-4EBF-B097-95DE474B0799}"/>
    <hyperlink ref="R3:W3" location="Sheet1!A1" tooltip=" " display="▶おすすめ算出シートへ戻る" xr:uid="{A1BA13F8-37C9-4603-AA97-05A8DEFFB344}"/>
  </hyperlinks>
  <pageMargins left="0.7" right="0.7" top="0.75" bottom="0.75" header="0.3" footer="0.3"/>
  <pageSetup paperSize="9" scale="83"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19E32-6ADA-4EBB-81AE-6F04E0631551}">
  <sheetPr codeName="Sheet2"/>
  <dimension ref="A1:B9"/>
  <sheetViews>
    <sheetView showGridLines="0" workbookViewId="0">
      <selection activeCell="A2" sqref="A2"/>
    </sheetView>
  </sheetViews>
  <sheetFormatPr defaultRowHeight="18.75"/>
  <cols>
    <col min="1" max="2" width="33.75" customWidth="1"/>
    <col min="3" max="3" width="7.125" customWidth="1"/>
    <col min="4" max="4" width="3.625" customWidth="1"/>
    <col min="5" max="5" width="9" customWidth="1"/>
    <col min="6" max="6" width="13.375" customWidth="1"/>
    <col min="7" max="7" width="7.125" customWidth="1"/>
    <col min="8" max="8" width="3.625" customWidth="1"/>
  </cols>
  <sheetData>
    <row r="1" spans="1:2">
      <c r="A1" t="s">
        <v>33</v>
      </c>
      <c r="B1" t="s">
        <v>34</v>
      </c>
    </row>
    <row r="2" spans="1:2" ht="247.5" customHeight="1"/>
    <row r="3" spans="1:2" ht="25.5" customHeight="1"/>
    <row r="4" spans="1:2" ht="25.5" customHeight="1"/>
    <row r="5" spans="1:2" ht="25.5" customHeight="1"/>
    <row r="6" spans="1:2" ht="25.5" customHeight="1"/>
    <row r="7" spans="1:2" ht="25.5" customHeight="1"/>
    <row r="8" spans="1:2" ht="25.5" customHeight="1"/>
    <row r="9" spans="1:2" ht="25.5" customHeight="1"/>
  </sheetData>
  <phoneticPr fontId="3"/>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Sheet1</vt:lpstr>
      <vt:lpstr>Sheet3</vt:lpstr>
      <vt:lpstr>Sheet2</vt:lpstr>
      <vt:lpstr>Sheet1!Print_Area</vt:lpstr>
      <vt:lpstr>非表示</vt:lpstr>
      <vt:lpstr>表示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owner</cp:lastModifiedBy>
  <cp:lastPrinted>2025-02-27T07:37:14Z</cp:lastPrinted>
  <dcterms:created xsi:type="dcterms:W3CDTF">2015-06-05T18:19:34Z</dcterms:created>
  <dcterms:modified xsi:type="dcterms:W3CDTF">2025-03-21T05:53:11Z</dcterms:modified>
</cp:coreProperties>
</file>